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ne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D25" i="2"/>
  <c r="D29" i="2"/>
  <c r="D101" i="3"/>
  <c r="I92" i="3"/>
  <c r="D97" i="3"/>
  <c r="I39" i="3"/>
  <c r="F44" i="3"/>
  <c r="F45" i="3" s="1"/>
  <c r="D45" i="3"/>
  <c r="E41" i="3" s="1"/>
  <c r="D98" i="3"/>
  <c r="G41" i="3"/>
  <c r="F98" i="3"/>
  <c r="G92" i="3" s="1"/>
  <c r="D33" i="2"/>
  <c r="D37" i="2"/>
  <c r="D41" i="2"/>
  <c r="D38" i="2"/>
  <c r="D50" i="2"/>
  <c r="D49" i="3"/>
  <c r="D102" i="3"/>
  <c r="D30" i="2"/>
  <c r="B49" i="2"/>
  <c r="C50" i="2"/>
  <c r="D26" i="2"/>
  <c r="D34" i="2"/>
  <c r="D42" i="2"/>
  <c r="D27" i="2"/>
  <c r="D31" i="2"/>
  <c r="D35" i="2"/>
  <c r="D39" i="2"/>
  <c r="D43" i="2"/>
  <c r="C49" i="2"/>
  <c r="D24" i="2"/>
  <c r="D28" i="2"/>
  <c r="D32" i="2"/>
  <c r="D36" i="2"/>
  <c r="D40" i="2"/>
  <c r="D49" i="2"/>
  <c r="E40" i="3" l="1"/>
  <c r="E92" i="3"/>
  <c r="G39" i="3"/>
  <c r="G40" i="3"/>
  <c r="G38" i="3"/>
  <c r="F46" i="3"/>
  <c r="E91" i="3"/>
  <c r="E94" i="3"/>
  <c r="D46" i="3"/>
  <c r="E38" i="3"/>
  <c r="E39" i="3"/>
  <c r="G94" i="3"/>
  <c r="F99" i="3"/>
  <c r="G91" i="3"/>
  <c r="G93" i="3"/>
  <c r="D99" i="3"/>
  <c r="E93" i="3"/>
  <c r="D103" i="3" l="1"/>
  <c r="D104" i="3" s="1"/>
  <c r="E95" i="3"/>
  <c r="G42" i="3"/>
  <c r="D52" i="3"/>
  <c r="G95" i="3"/>
  <c r="D105" i="3"/>
  <c r="D50" i="3"/>
  <c r="D51" i="3" s="1"/>
  <c r="E42" i="3"/>
  <c r="E113" i="3"/>
  <c r="F113" i="3" s="1"/>
  <c r="E111" i="3"/>
  <c r="F111" i="3" s="1"/>
  <c r="E108" i="3" l="1"/>
  <c r="F108" i="3" s="1"/>
  <c r="E109" i="3"/>
  <c r="F109" i="3" s="1"/>
  <c r="E110" i="3"/>
  <c r="F110" i="3" s="1"/>
  <c r="E112" i="3"/>
  <c r="F112" i="3" s="1"/>
  <c r="G65" i="3"/>
  <c r="H65" i="3" s="1"/>
  <c r="G68" i="3"/>
  <c r="H68" i="3" s="1"/>
  <c r="G64" i="3"/>
  <c r="H64" i="3" s="1"/>
  <c r="G63" i="3"/>
  <c r="H63" i="3" s="1"/>
  <c r="G71" i="3"/>
  <c r="H71" i="3" s="1"/>
  <c r="G62" i="3"/>
  <c r="H62" i="3" s="1"/>
  <c r="G67" i="3"/>
  <c r="H67" i="3" s="1"/>
  <c r="G69" i="3"/>
  <c r="H69" i="3" s="1"/>
  <c r="G60" i="3"/>
  <c r="G70" i="3"/>
  <c r="H70" i="3" s="1"/>
  <c r="G61" i="3"/>
  <c r="H61" i="3" s="1"/>
  <c r="G66" i="3"/>
  <c r="H66" i="3" s="1"/>
  <c r="E115" i="3" l="1"/>
  <c r="E116" i="3" s="1"/>
  <c r="E119" i="3"/>
  <c r="E120" i="3"/>
  <c r="E117" i="3"/>
  <c r="G74" i="3"/>
  <c r="G72" i="3"/>
  <c r="G73" i="3" s="1"/>
  <c r="H60" i="3"/>
  <c r="F125" i="3"/>
  <c r="F120" i="3"/>
  <c r="F117" i="3"/>
  <c r="D125" i="3"/>
  <c r="F115" i="3"/>
  <c r="F119" i="3"/>
  <c r="H74" i="3" l="1"/>
  <c r="H72" i="3"/>
  <c r="G76" i="3" s="1"/>
  <c r="G124" i="3"/>
  <c r="F116" i="3"/>
  <c r="H73" i="3" l="1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<sst xmlns="http://schemas.openxmlformats.org/spreadsheetml/2006/main" count="239" uniqueCount="133">
  <si>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</si>
  <si>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</si>
  <si>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</si>
  <si>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</si>
  <si>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</si>
  <si>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</si>
  <si>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</si>
  <si>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NDQB201706435</t>
  </si>
  <si>
    <t>Weight (mg):</t>
  </si>
  <si>
    <t>Metronidazole 400 mg</t>
  </si>
  <si>
    <t>Standard Conc (mg/mL):</t>
  </si>
  <si>
    <t>each tablets contains metronidazole BP 400 mg.</t>
  </si>
  <si>
    <t>2017-06-21 09:56:27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</si>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</sst>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C29" sqref="C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27.05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0.54100000000000004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33153206</v>
      </c>
      <c r="C24" s="18">
        <v>8381.1</v>
      </c>
      <c r="D24" s="19">
        <v>1.1000000000000001</v>
      </c>
      <c r="E24" s="20">
        <v>5.0999999999999996</v>
      </c>
    </row>
    <row r="25" spans="1:6" ht="16.5" customHeight="1" x14ac:dyDescent="0.3">
      <c r="A25" s="17">
        <v>2</v>
      </c>
      <c r="B25" s="18">
        <v>33228883</v>
      </c>
      <c r="C25" s="18">
        <v>8538.9</v>
      </c>
      <c r="D25" s="19">
        <v>1.1000000000000001</v>
      </c>
      <c r="E25" s="19">
        <v>5.0999999999999996</v>
      </c>
    </row>
    <row r="26" spans="1:6" ht="16.5" customHeight="1" x14ac:dyDescent="0.3">
      <c r="A26" s="17">
        <v>3</v>
      </c>
      <c r="B26" s="18">
        <v>33433921</v>
      </c>
      <c r="C26" s="18">
        <v>8571.9</v>
      </c>
      <c r="D26" s="19">
        <v>1.1000000000000001</v>
      </c>
      <c r="E26" s="19">
        <v>5.0999999999999996</v>
      </c>
    </row>
    <row r="27" spans="1:6" ht="16.5" customHeight="1" x14ac:dyDescent="0.3">
      <c r="A27" s="17">
        <v>4</v>
      </c>
      <c r="B27" s="18">
        <v>33445112</v>
      </c>
      <c r="C27" s="18">
        <v>8642.9</v>
      </c>
      <c r="D27" s="19">
        <v>1.1000000000000001</v>
      </c>
      <c r="E27" s="19">
        <v>5.0999999999999996</v>
      </c>
    </row>
    <row r="28" spans="1:6" ht="16.5" customHeight="1" x14ac:dyDescent="0.3">
      <c r="A28" s="17">
        <v>5</v>
      </c>
      <c r="B28" s="18">
        <v>33457847</v>
      </c>
      <c r="C28" s="18">
        <v>8632.4</v>
      </c>
      <c r="D28" s="19">
        <v>1.1000000000000001</v>
      </c>
      <c r="E28" s="19">
        <v>5.0999999999999996</v>
      </c>
    </row>
    <row r="29" spans="1:6" ht="16.5" customHeight="1" x14ac:dyDescent="0.3">
      <c r="A29" s="17">
        <v>6</v>
      </c>
      <c r="B29" s="21">
        <v>33285301</v>
      </c>
      <c r="C29" s="21">
        <v>8669.1</v>
      </c>
      <c r="D29" s="22">
        <v>1.1000000000000001</v>
      </c>
      <c r="E29" s="22">
        <v>5.0999999999999996</v>
      </c>
    </row>
    <row r="30" spans="1:6" ht="16.5" customHeight="1" x14ac:dyDescent="0.3">
      <c r="A30" s="23" t="s">
        <v>18</v>
      </c>
      <c r="B30" s="24">
        <f>AVERAGE(B24:B29)</f>
        <v>33334045</v>
      </c>
      <c r="C30" s="25">
        <f>AVERAGE(C24:C29)</f>
        <v>8572.7166666666672</v>
      </c>
      <c r="D30" s="26">
        <f>AVERAGE(D24:D29)</f>
        <v>1.0999999999999999</v>
      </c>
      <c r="E30" s="26">
        <f>AVERAGE(E24:E29)</f>
        <v>5.1000000000000005</v>
      </c>
    </row>
    <row r="31" spans="1:6" ht="16.5" customHeight="1" x14ac:dyDescent="0.3">
      <c r="A31" s="27" t="s">
        <v>19</v>
      </c>
      <c r="B31" s="28">
        <f>(STDEV(B24:B29)/B30)</f>
        <v>3.8831687496742092E-3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43" sqref="D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524.98</v>
      </c>
      <c r="D24" s="87">
        <f t="shared" ref="D24:D43" si="0">(C24-$C$46)/$C$46</f>
        <v>-3.2817013585312183E-3</v>
      </c>
      <c r="E24" s="53"/>
    </row>
    <row r="25" spans="1:5" ht="15.75" customHeight="1" x14ac:dyDescent="0.3">
      <c r="C25" s="95">
        <v>519.88</v>
      </c>
      <c r="D25" s="88">
        <f t="shared" si="0"/>
        <v>-1.2964476555817808E-2</v>
      </c>
      <c r="E25" s="53"/>
    </row>
    <row r="26" spans="1:5" ht="15.75" customHeight="1" x14ac:dyDescent="0.3">
      <c r="C26" s="95">
        <v>517.01</v>
      </c>
      <c r="D26" s="88">
        <f t="shared" si="0"/>
        <v>-1.8413410833506519E-2</v>
      </c>
      <c r="E26" s="53"/>
    </row>
    <row r="27" spans="1:5" ht="15.75" customHeight="1" x14ac:dyDescent="0.3">
      <c r="C27" s="95">
        <v>530.09</v>
      </c>
      <c r="D27" s="88">
        <f t="shared" si="0"/>
        <v>6.4200596724755228E-3</v>
      </c>
      <c r="E27" s="53"/>
    </row>
    <row r="28" spans="1:5" ht="15.75" customHeight="1" x14ac:dyDescent="0.3">
      <c r="C28" s="95">
        <v>521.89</v>
      </c>
      <c r="D28" s="88">
        <f t="shared" si="0"/>
        <v>-9.148323978063715E-3</v>
      </c>
      <c r="E28" s="53"/>
    </row>
    <row r="29" spans="1:5" ht="15.75" customHeight="1" x14ac:dyDescent="0.3">
      <c r="C29" s="95">
        <v>535.14</v>
      </c>
      <c r="D29" s="88">
        <f t="shared" si="0"/>
        <v>1.6007905701161132E-2</v>
      </c>
      <c r="E29" s="53"/>
    </row>
    <row r="30" spans="1:5" ht="15.75" customHeight="1" x14ac:dyDescent="0.3">
      <c r="C30" s="95">
        <v>525.65</v>
      </c>
      <c r="D30" s="88">
        <f t="shared" si="0"/>
        <v>-2.009650499279926E-3</v>
      </c>
      <c r="E30" s="53"/>
    </row>
    <row r="31" spans="1:5" ht="15.75" customHeight="1" x14ac:dyDescent="0.3">
      <c r="C31" s="95">
        <v>535.19000000000005</v>
      </c>
      <c r="D31" s="88">
        <f t="shared" si="0"/>
        <v>1.6102834869762113E-2</v>
      </c>
      <c r="E31" s="53"/>
    </row>
    <row r="32" spans="1:5" ht="15.75" customHeight="1" x14ac:dyDescent="0.3">
      <c r="C32" s="95">
        <v>526.65</v>
      </c>
      <c r="D32" s="88">
        <f t="shared" si="0"/>
        <v>-1.1106712726295647E-4</v>
      </c>
      <c r="E32" s="53"/>
    </row>
    <row r="33" spans="1:7" ht="15.75" customHeight="1" x14ac:dyDescent="0.3">
      <c r="C33" s="95">
        <v>525.33000000000004</v>
      </c>
      <c r="D33" s="88">
        <f t="shared" si="0"/>
        <v>-2.6171971783252356E-3</v>
      </c>
      <c r="E33" s="53"/>
    </row>
    <row r="34" spans="1:7" ht="15.75" customHeight="1" x14ac:dyDescent="0.3">
      <c r="C34" s="95">
        <v>522.99</v>
      </c>
      <c r="D34" s="88">
        <f t="shared" si="0"/>
        <v>-7.0598822688450052E-3</v>
      </c>
      <c r="E34" s="53"/>
    </row>
    <row r="35" spans="1:7" ht="15.75" customHeight="1" x14ac:dyDescent="0.3">
      <c r="C35" s="95">
        <v>533.42999999999995</v>
      </c>
      <c r="D35" s="88">
        <f t="shared" si="0"/>
        <v>1.2761328135012046E-2</v>
      </c>
      <c r="E35" s="53"/>
    </row>
    <row r="36" spans="1:7" ht="15.75" customHeight="1" x14ac:dyDescent="0.3">
      <c r="C36" s="95">
        <v>533.33000000000004</v>
      </c>
      <c r="D36" s="88">
        <f t="shared" si="0"/>
        <v>1.2571469797810523E-2</v>
      </c>
      <c r="E36" s="53"/>
    </row>
    <row r="37" spans="1:7" ht="15.75" customHeight="1" x14ac:dyDescent="0.3">
      <c r="C37" s="95">
        <v>520.26</v>
      </c>
      <c r="D37" s="88">
        <f t="shared" si="0"/>
        <v>-1.2243014874451367E-2</v>
      </c>
      <c r="E37" s="53"/>
    </row>
    <row r="38" spans="1:7" ht="15.75" customHeight="1" x14ac:dyDescent="0.3">
      <c r="C38" s="95">
        <v>527.95000000000005</v>
      </c>
      <c r="D38" s="88">
        <f t="shared" si="0"/>
        <v>2.3570912563592337E-3</v>
      </c>
      <c r="E38" s="53"/>
    </row>
    <row r="39" spans="1:7" ht="15.75" customHeight="1" x14ac:dyDescent="0.3">
      <c r="C39" s="95">
        <v>528.70000000000005</v>
      </c>
      <c r="D39" s="88">
        <f t="shared" si="0"/>
        <v>3.7810287853719607E-3</v>
      </c>
      <c r="E39" s="53"/>
    </row>
    <row r="40" spans="1:7" ht="15.75" customHeight="1" x14ac:dyDescent="0.3">
      <c r="C40" s="95">
        <v>526.49</v>
      </c>
      <c r="D40" s="88">
        <f t="shared" si="0"/>
        <v>-4.1484046678561117E-4</v>
      </c>
      <c r="E40" s="53"/>
    </row>
    <row r="41" spans="1:7" ht="15.75" customHeight="1" x14ac:dyDescent="0.3">
      <c r="C41" s="95">
        <v>520.03</v>
      </c>
      <c r="D41" s="88">
        <f t="shared" si="0"/>
        <v>-1.2679689050015304E-2</v>
      </c>
      <c r="E41" s="53"/>
    </row>
    <row r="42" spans="1:7" ht="15.75" customHeight="1" x14ac:dyDescent="0.3">
      <c r="C42" s="95">
        <v>532.62</v>
      </c>
      <c r="D42" s="88">
        <f t="shared" si="0"/>
        <v>1.1223475603678404E-2</v>
      </c>
      <c r="E42" s="53"/>
    </row>
    <row r="43" spans="1:7" ht="16.5" customHeight="1" x14ac:dyDescent="0.3">
      <c r="C43" s="96">
        <v>526.55999999999995</v>
      </c>
      <c r="D43" s="89">
        <f t="shared" si="0"/>
        <v>-2.819396307445442E-4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10534.17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526.70849999999996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526.70849999999996</v>
      </c>
      <c r="C49" s="93">
        <f>-IF(C46&lt;=80,10%,IF(C46&lt;250,7.5%,5%))</f>
        <v>-0.05</v>
      </c>
      <c r="D49" s="81">
        <f>IF(C46&lt;=80,C46*0.9,IF(C46&lt;250,C46*0.925,C46*0.95))</f>
        <v>500.37307499999991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553.04392499999994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142" zoomScale="70" zoomScaleNormal="40" zoomScalePageLayoutView="70" workbookViewId="0">
      <selection activeCell="F93" sqref="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">
        <v>5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42888.414212962962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131</v>
      </c>
      <c r="C26" s="328"/>
    </row>
    <row r="27" spans="1:14" ht="26.25" customHeight="1" x14ac:dyDescent="0.4">
      <c r="A27" s="109" t="s">
        <v>48</v>
      </c>
      <c r="B27" s="334" t="s">
        <v>132</v>
      </c>
      <c r="C27" s="334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33433864</v>
      </c>
      <c r="E38" s="133">
        <f>IF(ISBLANK(D38),"-",$D$48/$D$45*D38)</f>
        <v>30952678.703518718</v>
      </c>
      <c r="F38" s="132">
        <v>27875670</v>
      </c>
      <c r="G38" s="134">
        <f>IF(ISBLANK(F38),"-",$D$48/$F$45*F38)</f>
        <v>32021948.7808173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33495443</v>
      </c>
      <c r="E39" s="138">
        <f>IF(ISBLANK(D39),"-",$D$48/$D$45*D39)</f>
        <v>31009687.818644747</v>
      </c>
      <c r="F39" s="137">
        <v>27918655</v>
      </c>
      <c r="G39" s="139">
        <f>IF(ISBLANK(F39),"-",$D$48/$F$45*F39)</f>
        <v>32071327.449324403</v>
      </c>
      <c r="I39" s="312">
        <f>ABS((F43/D43*D42)-F42)/D42</f>
        <v>2.919912379023815E-2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33202412</v>
      </c>
      <c r="E40" s="138">
        <f>IF(ISBLANK(D40),"-",$D$48/$D$45*D40)</f>
        <v>30738403.159678295</v>
      </c>
      <c r="F40" s="137">
        <v>27827085</v>
      </c>
      <c r="G40" s="139">
        <f>IF(ISBLANK(F40),"-",$D$48/$F$45*F40)</f>
        <v>31966137.15793914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33377239.666666668</v>
      </c>
      <c r="E42" s="148">
        <f>AVERAGE(E38:E41)</f>
        <v>30900256.560613919</v>
      </c>
      <c r="F42" s="147">
        <f>AVERAGE(F38:F41)</f>
        <v>27873803.333333332</v>
      </c>
      <c r="G42" s="149">
        <f>AVERAGE(G38:G41)</f>
        <v>32019804.462693613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27.05</v>
      </c>
      <c r="E43" s="140"/>
      <c r="F43" s="152">
        <v>21.8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27.05</v>
      </c>
      <c r="E44" s="155"/>
      <c r="F44" s="154">
        <f>F43*$B$34</f>
        <v>21.8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27.004014999999999</v>
      </c>
      <c r="E45" s="158"/>
      <c r="F45" s="157">
        <f>F44*$B$30/100</f>
        <v>21.76294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0.54008029999999996</v>
      </c>
      <c r="E46" s="160"/>
      <c r="F46" s="161">
        <f>F45/$B$45</f>
        <v>0.4352588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31460030.511653766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1.973081048752896E-2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tablets contains metronidazole BP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Metronidazole 400 mg</v>
      </c>
      <c r="H56" s="179"/>
    </row>
    <row r="57" spans="1:12" ht="18.75" x14ac:dyDescent="0.3">
      <c r="A57" s="176" t="s">
        <v>88</v>
      </c>
      <c r="B57" s="247">
        <f>Uniformity!C46</f>
        <v>526.70849999999996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5" t="s">
        <v>94</v>
      </c>
      <c r="D60" s="318">
        <v>535.15</v>
      </c>
      <c r="E60" s="182">
        <v>1</v>
      </c>
      <c r="F60" s="183">
        <v>29627692</v>
      </c>
      <c r="G60" s="248">
        <f>IF(ISBLANK(F60),"-",(F60/$D$50*$D$47*$B$68)*($B$57/$D$60))</f>
        <v>386.20886409528748</v>
      </c>
      <c r="H60" s="266">
        <f t="shared" ref="H60:H71" si="0">IF(ISBLANK(F60),"-",(G60/$B$56)*100)</f>
        <v>96.55221602382187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16"/>
      <c r="D61" s="319"/>
      <c r="E61" s="184">
        <v>2</v>
      </c>
      <c r="F61" s="137">
        <v>29680092</v>
      </c>
      <c r="G61" s="249">
        <f>IF(ISBLANK(F61),"-",(F61/$D$50*$D$47*$B$68)*($B$57/$D$60))</f>
        <v>386.89191913982461</v>
      </c>
      <c r="H61" s="267">
        <f t="shared" si="0"/>
        <v>96.722979784956152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>
        <v>29548329</v>
      </c>
      <c r="G62" s="249">
        <f>IF(ISBLANK(F62),"-",(F62/$D$50*$D$47*$B$68)*($B$57/$D$60))</f>
        <v>385.17433551705079</v>
      </c>
      <c r="H62" s="267">
        <f t="shared" si="0"/>
        <v>96.293583879262698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533.16999999999996</v>
      </c>
      <c r="E64" s="182">
        <v>1</v>
      </c>
      <c r="F64" s="183">
        <v>29680933</v>
      </c>
      <c r="G64" s="248">
        <f>IF(ISBLANK(F64),"-",(F64/$D$50*$D$47*$B$68)*($B$57/$D$64))</f>
        <v>388.33969888688029</v>
      </c>
      <c r="H64" s="266">
        <f t="shared" si="0"/>
        <v>97.084924721720071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29874117</v>
      </c>
      <c r="G65" s="249">
        <f>IF(ISBLANK(F65),"-",(F65/$D$50*$D$47*$B$68)*($B$57/$D$64))</f>
        <v>390.86728170881389</v>
      </c>
      <c r="H65" s="267">
        <f t="shared" si="0"/>
        <v>97.716820427203473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29721332</v>
      </c>
      <c r="G66" s="249">
        <f>IF(ISBLANK(F66),"-",(F66/$D$50*$D$47*$B$68)*($B$57/$D$64))</f>
        <v>388.86827174189563</v>
      </c>
      <c r="H66" s="267">
        <f t="shared" si="0"/>
        <v>97.217067935473906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833.33333333333337</v>
      </c>
      <c r="C68" s="315" t="s">
        <v>104</v>
      </c>
      <c r="D68" s="318">
        <v>525.34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548.65468750000002</v>
      </c>
      <c r="C69" s="316"/>
      <c r="D69" s="319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387.72506184829211</v>
      </c>
      <c r="H72" s="269">
        <f>AVERAGE(H60:H71)</f>
        <v>96.931265462073029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5.2929027461280217E-3</v>
      </c>
      <c r="H73" s="253">
        <f>STDEV(H60:H71)/H72</f>
        <v>5.2929027461280217E-3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Metronidazole</v>
      </c>
      <c r="D76" s="302"/>
      <c r="E76" s="198" t="s">
        <v>108</v>
      </c>
      <c r="F76" s="198"/>
      <c r="G76" s="282">
        <f>H72</f>
        <v>96.931265462073029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Metronidazole</v>
      </c>
      <c r="C79" s="336"/>
    </row>
    <row r="80" spans="1:8" ht="26.25" customHeight="1" x14ac:dyDescent="0.4">
      <c r="A80" s="109" t="s">
        <v>48</v>
      </c>
      <c r="B80" s="336" t="str">
        <f>B27</f>
        <v>M2-4</v>
      </c>
      <c r="C80" s="336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0.44700000000000001</v>
      </c>
      <c r="E91" s="133">
        <f>IF(ISBLANK(D91),"-",$D$101/$D$98*D91)</f>
        <v>0.52186619350798447</v>
      </c>
      <c r="F91" s="132">
        <v>0.39600000000000002</v>
      </c>
      <c r="G91" s="134">
        <f>IF(ISBLANK(F91),"-",$D$101/$F$98*F91)</f>
        <v>0.50419364015107859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0.434</v>
      </c>
      <c r="E92" s="138">
        <f>IF(ISBLANK(D92),"-",$D$101/$D$98*D92)</f>
        <v>0.50668887691826681</v>
      </c>
      <c r="F92" s="137">
        <v>0.39700000000000002</v>
      </c>
      <c r="G92" s="139">
        <f>IF(ISBLANK(F92),"-",$D$101/$F$98*F92)</f>
        <v>0.5054668564140864</v>
      </c>
      <c r="I92" s="312">
        <f>ABS((F96/D96*D95)-F95)/D95</f>
        <v>1.1942844389652939E-2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0.435</v>
      </c>
      <c r="E93" s="138">
        <f>IF(ISBLANK(D93),"-",$D$101/$D$98*D93)</f>
        <v>0.50785636280978363</v>
      </c>
      <c r="F93" s="137">
        <v>0.39800000000000002</v>
      </c>
      <c r="G93" s="139">
        <f>IF(ISBLANK(F93),"-",$D$101/$F$98*F93)</f>
        <v>0.50674007267709409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0.4386666666666667</v>
      </c>
      <c r="E95" s="148">
        <f>AVERAGE(E91:E94)</f>
        <v>0.51213714441201164</v>
      </c>
      <c r="F95" s="211">
        <f>AVERAGE(F91:F94)</f>
        <v>0.39700000000000002</v>
      </c>
      <c r="G95" s="212">
        <f>AVERAGE(G91:G94)</f>
        <v>0.5054668564140864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11.44</v>
      </c>
      <c r="E96" s="140"/>
      <c r="F96" s="152">
        <v>10.49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11.44</v>
      </c>
      <c r="E97" s="155"/>
      <c r="F97" s="154">
        <f>F96*$B$87</f>
        <v>10.49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11.420552000000001</v>
      </c>
      <c r="E98" s="158"/>
      <c r="F98" s="157">
        <f>F97*$B$83/100</f>
        <v>10.472166999999999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1.1420552E-2</v>
      </c>
      <c r="E99" s="158"/>
      <c r="F99" s="161">
        <f>F98/$B$98</f>
        <v>1.0472166999999999E-2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1.3333333333333332E-2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13.333333333333332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13.333333333333332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0.50880200041304902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1.2817199396324879E-2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3">
        <v>1</v>
      </c>
      <c r="D108" s="283">
        <v>0.46</v>
      </c>
      <c r="E108" s="250">
        <f t="shared" ref="E108:E113" si="1">IF(ISBLANK(D108),"-",D108/$D$103*$D$100*$B$116)</f>
        <v>361.63379831570541</v>
      </c>
      <c r="F108" s="274">
        <f t="shared" ref="F108:F113" si="2">IF(ISBLANK(D108), "-", (E108/$B$56)*100)</f>
        <v>90.408449578926351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0.46500000000000002</v>
      </c>
      <c r="E109" s="251">
        <f t="shared" si="1"/>
        <v>365.56460047131088</v>
      </c>
      <c r="F109" s="275">
        <f t="shared" si="2"/>
        <v>91.391150117827721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0.46700000000000003</v>
      </c>
      <c r="E110" s="251">
        <f t="shared" si="1"/>
        <v>367.13692133355306</v>
      </c>
      <c r="F110" s="275">
        <f t="shared" si="2"/>
        <v>91.784230333388265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0.47</v>
      </c>
      <c r="E111" s="251">
        <f t="shared" si="1"/>
        <v>369.49540262691636</v>
      </c>
      <c r="F111" s="275">
        <f t="shared" si="2"/>
        <v>92.37385065672909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0.47099999999999997</v>
      </c>
      <c r="E112" s="251">
        <f t="shared" si="1"/>
        <v>370.28156305803748</v>
      </c>
      <c r="F112" s="275">
        <f t="shared" si="2"/>
        <v>92.570390764509369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0.47199999999999998</v>
      </c>
      <c r="E113" s="252">
        <f t="shared" si="1"/>
        <v>371.06772348915854</v>
      </c>
      <c r="F113" s="276">
        <f t="shared" si="2"/>
        <v>92.766930872289635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367.53000154911365</v>
      </c>
      <c r="F115" s="278">
        <f>AVERAGE(F108:F113)</f>
        <v>91.882500387278412</v>
      </c>
    </row>
    <row r="116" spans="1:10" ht="27" customHeight="1" x14ac:dyDescent="0.4">
      <c r="A116" s="124" t="s">
        <v>103</v>
      </c>
      <c r="B116" s="156">
        <f>(B115/B114)*(B113/B112)*(B111/B110)*(B109/B108)*B107</f>
        <v>30000.000000000004</v>
      </c>
      <c r="C116" s="234"/>
      <c r="D116" s="258" t="s">
        <v>84</v>
      </c>
      <c r="E116" s="256">
        <f>STDEV(E108:E113)/E115</f>
        <v>9.637544664016057E-3</v>
      </c>
      <c r="F116" s="235">
        <f>STDEV(F108:F113)/F115</f>
        <v>9.637544664016057E-3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361.63379831570541</v>
      </c>
      <c r="F119" s="279">
        <f>MIN(F108:F113)</f>
        <v>90.408449578926351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371.06772348915854</v>
      </c>
      <c r="F120" s="280">
        <f>MAX(F108:F113)</f>
        <v>92.766930872289635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Metronidazole</v>
      </c>
      <c r="D124" s="302"/>
      <c r="E124" s="198" t="s">
        <v>127</v>
      </c>
      <c r="F124" s="198"/>
      <c r="G124" s="281">
        <f>F115</f>
        <v>91.882500387278412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90.408449578926351</v>
      </c>
      <c r="E125" s="209" t="s">
        <v>130</v>
      </c>
      <c r="F125" s="281">
        <f>MAX(F108:F113)</f>
        <v>92.766930872289635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2017-06-28T11:03:38Z</cp:lastPrinted>
  <dcterms:created xsi:type="dcterms:W3CDTF">2005-07-05T10:19:27Z</dcterms:created>
  <dcterms:modified xsi:type="dcterms:W3CDTF">2017-06-30T08:05:16Z</dcterms:modified>
</cp:coreProperties>
</file>