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 activeTab="2"/>
  </bookViews>
  <sheets>
    <sheet name="SST" sheetId="5" r:id="rId1"/>
    <sheet name="Metronidazole (2)" sheetId="4" r:id="rId2"/>
    <sheet name="Uniformity" sheetId="2" r:id="rId3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B57" i="4" l="1"/>
  <c r="C124" i="4"/>
  <c r="B116" i="4"/>
  <c r="E113" i="4"/>
  <c r="F113" i="4" s="1"/>
  <c r="F112" i="4"/>
  <c r="E112" i="4"/>
  <c r="E111" i="4"/>
  <c r="F111" i="4" s="1"/>
  <c r="E110" i="4"/>
  <c r="F110" i="4" s="1"/>
  <c r="E109" i="4"/>
  <c r="F109" i="4" s="1"/>
  <c r="E108" i="4"/>
  <c r="F108" i="4" s="1"/>
  <c r="D100" i="4"/>
  <c r="B98" i="4"/>
  <c r="F95" i="4"/>
  <c r="I92" i="4" s="1"/>
  <c r="D95" i="4"/>
  <c r="G94" i="4"/>
  <c r="E94" i="4"/>
  <c r="B87" i="4"/>
  <c r="F97" i="4" s="1"/>
  <c r="F98" i="4" s="1"/>
  <c r="B83" i="4"/>
  <c r="B81" i="4"/>
  <c r="B80" i="4"/>
  <c r="B79" i="4"/>
  <c r="C76" i="4"/>
  <c r="H71" i="4"/>
  <c r="G71" i="4"/>
  <c r="B68" i="4"/>
  <c r="H67" i="4"/>
  <c r="G67" i="4"/>
  <c r="H63" i="4"/>
  <c r="G63" i="4"/>
  <c r="B69" i="4"/>
  <c r="C56" i="4"/>
  <c r="B55" i="4"/>
  <c r="B45" i="4"/>
  <c r="D48" i="4" s="1"/>
  <c r="F44" i="4"/>
  <c r="F45" i="4" s="1"/>
  <c r="F46" i="4" s="1"/>
  <c r="F42" i="4"/>
  <c r="D42" i="4"/>
  <c r="I39" i="4" s="1"/>
  <c r="G41" i="4"/>
  <c r="E41" i="4"/>
  <c r="B34" i="4"/>
  <c r="D44" i="4" s="1"/>
  <c r="D45" i="4" s="1"/>
  <c r="D46" i="4" s="1"/>
  <c r="B30" i="4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F125" i="4" l="1"/>
  <c r="E120" i="4"/>
  <c r="F99" i="4"/>
  <c r="D101" i="4"/>
  <c r="G93" i="4" s="1"/>
  <c r="E115" i="4"/>
  <c r="E116" i="4" s="1"/>
  <c r="G40" i="4"/>
  <c r="D49" i="4"/>
  <c r="E40" i="4"/>
  <c r="G38" i="4"/>
  <c r="E38" i="4"/>
  <c r="G39" i="4"/>
  <c r="E39" i="4"/>
  <c r="D97" i="4"/>
  <c r="D98" i="4" s="1"/>
  <c r="E119" i="4"/>
  <c r="F119" i="4"/>
  <c r="F115" i="4"/>
  <c r="E117" i="4"/>
  <c r="D125" i="4"/>
  <c r="F117" i="4"/>
  <c r="F120" i="4"/>
  <c r="G92" i="4" l="1"/>
  <c r="D102" i="4"/>
  <c r="G91" i="4"/>
  <c r="D99" i="4"/>
  <c r="E92" i="4"/>
  <c r="E93" i="4"/>
  <c r="E91" i="4"/>
  <c r="G124" i="4"/>
  <c r="F116" i="4"/>
  <c r="E42" i="4"/>
  <c r="D52" i="4"/>
  <c r="D50" i="4"/>
  <c r="G42" i="4"/>
  <c r="G68" i="4" l="1"/>
  <c r="H68" i="4" s="1"/>
  <c r="G70" i="4"/>
  <c r="H70" i="4" s="1"/>
  <c r="G69" i="4"/>
  <c r="H69" i="4" s="1"/>
  <c r="G95" i="4"/>
  <c r="D103" i="4"/>
  <c r="D104" i="4" s="1"/>
  <c r="E95" i="4"/>
  <c r="D105" i="4"/>
  <c r="G61" i="4"/>
  <c r="H61" i="4" s="1"/>
  <c r="D51" i="4"/>
  <c r="G65" i="4"/>
  <c r="H65" i="4" s="1"/>
  <c r="G66" i="4"/>
  <c r="H66" i="4" s="1"/>
  <c r="G64" i="4"/>
  <c r="H64" i="4" s="1"/>
  <c r="G62" i="4"/>
  <c r="H62" i="4" s="1"/>
  <c r="G60" i="4"/>
  <c r="G74" i="4" l="1"/>
  <c r="G72" i="4"/>
  <c r="G73" i="4" s="1"/>
  <c r="H60" i="4"/>
  <c r="H74" i="4" l="1"/>
  <c r="H72" i="4"/>
  <c r="G76" i="4" l="1"/>
  <c r="H73" i="4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<sst xmlns="http://schemas.openxmlformats.org/spreadsheetml/2006/main" count="239" uniqueCount="134">
  <si>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</si>
  <si>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</si>
  <si>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</si>
  <si>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</si>
  <si>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</si>
  <si>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TRICOZOLE 400 MG</t>
  </si>
  <si>
    <t>% age Purity:</t>
  </si>
  <si>
    <t>NDQB201706436</t>
  </si>
  <si>
    <t>Weight (mg):</t>
  </si>
  <si>
    <t>Metronidazole 400 mg</t>
  </si>
  <si>
    <t>Standard Conc (mg/mL):</t>
  </si>
  <si>
    <t>each tablets contains metronidazole BP 400 mg.</t>
  </si>
  <si>
    <t>2017-06-21 10:01:25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</si>
  <si>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</si>
  <si>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</si>
  <si>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</si>
  <si>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</si>
  <si>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</si>
  <si>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</si>
  <si>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</si>
  <si>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</si>
  <si>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</si>
  <si>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</si>
  <si>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</si>
  <si>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</si>
  <si>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</si>
  <si>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</si>
  <si>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</si>
  <si>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</si>
  <si>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</si>
  <si>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</si>
  <si>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</si>
  <si>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</si>
  <si>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</si>
  <si>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</si>
  <si>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</si>
  <si>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</si>
  <si>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</si>
  <si>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</si>
  <si>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</si>
  <si>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</si>
  <si>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</si>
  <si>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</si>
  <si>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</si>
  <si>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</si>
  <si>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</si>
  <si>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</si>
  <si>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</si>
  <si>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</si>
  <si>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</si>
  <si>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</si>
  <si>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</si>
  <si>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</si>
  <si>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</si>
  <si>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</si>
  <si>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</si>
  <si>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</si>
  <si>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</si>
  <si>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</si>
  <si>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</si>
  <si>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</si>
  <si>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</si>
  <si>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</si>
  <si>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</si>
  <si>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</si>
  <si>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</si>
  <si>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</si>
  <si>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</si>
  <si>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</si>
  <si>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</si>
  <si>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</si>
  <si>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</si>
  <si>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</si>
  <si>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</si>
  <si>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</si>
  <si>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</si>
  <si>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</si>
  <si>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</si>
  <si>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</si>
  <si>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</si>
  <si>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</si>
  <si>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</si>
  <si>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</si>
  <si>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</si>
  <si>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</si>
  <si>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</si>
  <si>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</si>
  <si>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</si>
  <si>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</si>
  <si>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</si>
  <si>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</si>
  <si>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</si>
  <si>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</si>
  <si>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</si>
  <si>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</si>
  <si>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</si>
  <si>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</si>
  <si>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</si>
  <si>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</si>
  <si>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</si>
  <si>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</si>
  <si>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</si>
  <si>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</si>
  <si>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</si>
  <si>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</si>
  <si>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</si>
  <si>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</si>
  <si>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</si>
  <si>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</si>
  <si>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</si>
  <si>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</si>
  <si>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</si>
  <si>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</si>
  <si>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</si>
  <si>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</si>
  <si>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</si>
  <si>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</si>
  <si>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</si>
  <si>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</si>
  <si>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</si>
  <si>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</si>
  <si>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</si>
  <si>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</si>
  <si>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</si>
  <si>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</si>
  <si>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</si>
  <si>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</si>
  <si>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</si>
  <si>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2017-06-21 09:56:27</t>
  </si>
  <si>
    <t>Metronidazole</t>
  </si>
  <si>
    <t>M2-4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</si>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</sst>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0" fillId="2" borderId="0" xfId="1" applyFont="1" applyFill="1"/>
    <xf numFmtId="0" fontId="24" fillId="2" borderId="0" xfId="1" applyFill="1"/>
    <xf numFmtId="0" fontId="11" fillId="2" borderId="0" xfId="1" applyFont="1" applyFill="1"/>
    <xf numFmtId="0" fontId="12" fillId="2" borderId="0" xfId="1" applyFont="1" applyFill="1" applyAlignment="1" applyProtection="1">
      <alignment horizontal="right"/>
      <protection locked="0"/>
    </xf>
    <xf numFmtId="0" fontId="12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168" fontId="13" fillId="3" borderId="0" xfId="1" applyNumberFormat="1" applyFont="1" applyFill="1" applyAlignment="1" applyProtection="1">
      <alignment horizontal="center"/>
      <protection locked="0"/>
    </xf>
    <xf numFmtId="169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2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4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2" fontId="12" fillId="3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vertical="center" wrapText="1"/>
    </xf>
    <xf numFmtId="0" fontId="17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70" fontId="11" fillId="2" borderId="0" xfId="1" applyNumberFormat="1" applyFont="1" applyFill="1" applyAlignment="1">
      <alignment horizontal="center"/>
    </xf>
    <xf numFmtId="0" fontId="10" fillId="2" borderId="21" xfId="1" applyFont="1" applyFill="1" applyBorder="1" applyAlignment="1">
      <alignment horizontal="right"/>
    </xf>
    <xf numFmtId="0" fontId="12" fillId="3" borderId="22" xfId="1" applyFont="1" applyFill="1" applyBorder="1" applyAlignment="1" applyProtection="1">
      <alignment horizontal="center"/>
      <protection locked="0"/>
    </xf>
    <xf numFmtId="0" fontId="10" fillId="2" borderId="23" xfId="1" applyFont="1" applyFill="1" applyBorder="1" applyAlignment="1">
      <alignment horizontal="right"/>
    </xf>
    <xf numFmtId="0" fontId="12" fillId="3" borderId="24" xfId="1" applyFont="1" applyFill="1" applyBorder="1" applyAlignment="1" applyProtection="1">
      <alignment horizontal="center"/>
      <protection locked="0"/>
    </xf>
    <xf numFmtId="0" fontId="11" fillId="2" borderId="22" xfId="1" applyFont="1" applyFill="1" applyBorder="1" applyAlignment="1">
      <alignment horizontal="center"/>
    </xf>
    <xf numFmtId="0" fontId="11" fillId="2" borderId="25" xfId="1" applyFont="1" applyFill="1" applyBorder="1" applyAlignment="1">
      <alignment horizontal="center"/>
    </xf>
    <xf numFmtId="0" fontId="11" fillId="2" borderId="26" xfId="1" applyFont="1" applyFill="1" applyBorder="1" applyAlignment="1">
      <alignment horizontal="center"/>
    </xf>
    <xf numFmtId="0" fontId="11" fillId="2" borderId="27" xfId="1" applyFont="1" applyFill="1" applyBorder="1" applyAlignment="1">
      <alignment horizontal="center"/>
    </xf>
    <xf numFmtId="0" fontId="11" fillId="2" borderId="12" xfId="1" applyFont="1" applyFill="1" applyBorder="1" applyAlignment="1">
      <alignment horizontal="center"/>
    </xf>
    <xf numFmtId="0" fontId="10" fillId="2" borderId="28" xfId="1" applyFont="1" applyFill="1" applyBorder="1" applyAlignment="1">
      <alignment horizontal="center"/>
    </xf>
    <xf numFmtId="0" fontId="12" fillId="3" borderId="29" xfId="1" applyFont="1" applyFill="1" applyBorder="1" applyAlignment="1" applyProtection="1">
      <alignment horizontal="center"/>
      <protection locked="0"/>
    </xf>
    <xf numFmtId="171" fontId="10" fillId="2" borderId="26" xfId="1" applyNumberFormat="1" applyFont="1" applyFill="1" applyBorder="1" applyAlignment="1">
      <alignment horizontal="center"/>
    </xf>
    <xf numFmtId="171" fontId="10" fillId="2" borderId="30" xfId="1" applyNumberFormat="1" applyFont="1" applyFill="1" applyBorder="1" applyAlignment="1">
      <alignment horizontal="center"/>
    </xf>
    <xf numFmtId="0" fontId="17" fillId="2" borderId="13" xfId="1" applyFont="1" applyFill="1" applyBorder="1"/>
    <xf numFmtId="0" fontId="10" fillId="2" borderId="24" xfId="1" applyFont="1" applyFill="1" applyBorder="1" applyAlignment="1">
      <alignment horizontal="center"/>
    </xf>
    <xf numFmtId="0" fontId="12" fillId="3" borderId="23" xfId="1" applyFont="1" applyFill="1" applyBorder="1" applyAlignment="1" applyProtection="1">
      <alignment horizontal="center"/>
      <protection locked="0"/>
    </xf>
    <xf numFmtId="171" fontId="10" fillId="2" borderId="31" xfId="1" applyNumberFormat="1" applyFont="1" applyFill="1" applyBorder="1" applyAlignment="1">
      <alignment horizontal="center"/>
    </xf>
    <xf numFmtId="171" fontId="10" fillId="2" borderId="32" xfId="1" applyNumberFormat="1" applyFont="1" applyFill="1" applyBorder="1" applyAlignment="1">
      <alignment horizontal="center"/>
    </xf>
    <xf numFmtId="0" fontId="10" fillId="2" borderId="33" xfId="1" applyFont="1" applyFill="1" applyBorder="1" applyAlignment="1">
      <alignment horizontal="center"/>
    </xf>
    <xf numFmtId="0" fontId="12" fillId="3" borderId="34" xfId="1" applyFont="1" applyFill="1" applyBorder="1" applyAlignment="1" applyProtection="1">
      <alignment horizontal="center"/>
      <protection locked="0"/>
    </xf>
    <xf numFmtId="171" fontId="10" fillId="2" borderId="35" xfId="1" applyNumberFormat="1" applyFont="1" applyFill="1" applyBorder="1" applyAlignment="1">
      <alignment horizontal="center"/>
    </xf>
    <xf numFmtId="171" fontId="10" fillId="2" borderId="36" xfId="1" applyNumberFormat="1" applyFont="1" applyFill="1" applyBorder="1" applyAlignment="1">
      <alignment horizontal="center"/>
    </xf>
    <xf numFmtId="0" fontId="10" fillId="2" borderId="15" xfId="1" applyFont="1" applyFill="1" applyBorder="1"/>
    <xf numFmtId="0" fontId="10" fillId="2" borderId="24" xfId="1" applyFont="1" applyFill="1" applyBorder="1" applyAlignment="1">
      <alignment horizontal="right"/>
    </xf>
    <xf numFmtId="1" fontId="11" fillId="6" borderId="37" xfId="1" applyNumberFormat="1" applyFont="1" applyFill="1" applyBorder="1" applyAlignment="1">
      <alignment horizontal="center"/>
    </xf>
    <xf numFmtId="171" fontId="11" fillId="6" borderId="38" xfId="1" applyNumberFormat="1" applyFont="1" applyFill="1" applyBorder="1" applyAlignment="1">
      <alignment horizontal="center"/>
    </xf>
    <xf numFmtId="171" fontId="11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40" xfId="1" applyFont="1" applyFill="1" applyBorder="1" applyAlignment="1">
      <alignment horizontal="right"/>
    </xf>
    <xf numFmtId="0" fontId="12" fillId="3" borderId="16" xfId="1" applyFont="1" applyFill="1" applyBorder="1" applyAlignment="1" applyProtection="1">
      <alignment horizont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41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7" borderId="41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166" fontId="10" fillId="6" borderId="41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6" borderId="17" xfId="1" applyNumberFormat="1" applyFont="1" applyFill="1" applyBorder="1" applyAlignment="1">
      <alignment horizontal="center"/>
    </xf>
    <xf numFmtId="0" fontId="10" fillId="2" borderId="42" xfId="1" applyFont="1" applyFill="1" applyBorder="1" applyAlignment="1">
      <alignment horizontal="right"/>
    </xf>
    <xf numFmtId="166" fontId="12" fillId="3" borderId="41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29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15" xfId="1" applyFont="1" applyFill="1" applyBorder="1" applyAlignment="1">
      <alignment horizontal="right"/>
    </xf>
    <xf numFmtId="2" fontId="10" fillId="6" borderId="15" xfId="1" applyNumberFormat="1" applyFont="1" applyFill="1" applyBorder="1" applyAlignment="1">
      <alignment horizontal="center"/>
    </xf>
    <xf numFmtId="171" fontId="11" fillId="7" borderId="13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6" borderId="41" xfId="1" applyNumberFormat="1" applyFont="1" applyFill="1" applyBorder="1" applyAlignment="1">
      <alignment horizontal="center"/>
    </xf>
    <xf numFmtId="0" fontId="10" fillId="2" borderId="43" xfId="1" applyFont="1" applyFill="1" applyBorder="1" applyAlignment="1">
      <alignment horizontal="right"/>
    </xf>
    <xf numFmtId="0" fontId="10" fillId="7" borderId="15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2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0" fillId="2" borderId="13" xfId="1" applyFont="1" applyFill="1" applyBorder="1" applyAlignment="1">
      <alignment horizontal="center"/>
    </xf>
    <xf numFmtId="0" fontId="12" fillId="3" borderId="21" xfId="1" applyFont="1" applyFill="1" applyBorder="1" applyAlignment="1" applyProtection="1">
      <alignment horizontal="center"/>
      <protection locked="0"/>
    </xf>
    <xf numFmtId="166" fontId="10" fillId="2" borderId="21" xfId="1" applyNumberFormat="1" applyFont="1" applyFill="1" applyBorder="1" applyAlignment="1">
      <alignment horizontal="center"/>
    </xf>
    <xf numFmtId="173" fontId="10" fillId="2" borderId="13" xfId="1" applyNumberFormat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/>
    </xf>
    <xf numFmtId="166" fontId="10" fillId="2" borderId="23" xfId="1" applyNumberFormat="1" applyFont="1" applyFill="1" applyBorder="1" applyAlignment="1">
      <alignment horizontal="center"/>
    </xf>
    <xf numFmtId="173" fontId="10" fillId="2" borderId="14" xfId="1" applyNumberFormat="1" applyFont="1" applyFill="1" applyBorder="1" applyAlignment="1">
      <alignment horizontal="center" vertical="center"/>
    </xf>
    <xf numFmtId="1" fontId="12" fillId="3" borderId="23" xfId="1" applyNumberFormat="1" applyFont="1" applyFill="1" applyBorder="1" applyAlignment="1" applyProtection="1">
      <alignment horizontal="center"/>
      <protection locked="0"/>
    </xf>
    <xf numFmtId="0" fontId="10" fillId="2" borderId="15" xfId="1" applyFont="1" applyFill="1" applyBorder="1" applyAlignment="1">
      <alignment horizontal="center"/>
    </xf>
    <xf numFmtId="0" fontId="12" fillId="3" borderId="43" xfId="1" applyFont="1" applyFill="1" applyBorder="1" applyAlignment="1" applyProtection="1">
      <alignment horizontal="center"/>
      <protection locked="0"/>
    </xf>
    <xf numFmtId="166" fontId="10" fillId="2" borderId="43" xfId="1" applyNumberFormat="1" applyFont="1" applyFill="1" applyBorder="1" applyAlignment="1">
      <alignment horizontal="center"/>
    </xf>
    <xf numFmtId="173" fontId="10" fillId="2" borderId="15" xfId="1" applyNumberFormat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/>
    </xf>
    <xf numFmtId="2" fontId="13" fillId="2" borderId="44" xfId="1" applyNumberFormat="1" applyFont="1" applyFill="1" applyBorder="1" applyAlignment="1">
      <alignment horizontal="center"/>
    </xf>
    <xf numFmtId="0" fontId="10" fillId="2" borderId="45" xfId="1" applyFont="1" applyFill="1" applyBorder="1" applyAlignment="1">
      <alignment horizontal="right"/>
    </xf>
    <xf numFmtId="2" fontId="12" fillId="7" borderId="33" xfId="1" applyNumberFormat="1" applyFont="1" applyFill="1" applyBorder="1" applyAlignment="1">
      <alignment horizontal="center"/>
    </xf>
    <xf numFmtId="173" fontId="12" fillId="7" borderId="33" xfId="1" applyNumberFormat="1" applyFont="1" applyFill="1" applyBorder="1" applyAlignment="1">
      <alignment horizontal="center"/>
    </xf>
    <xf numFmtId="0" fontId="10" fillId="2" borderId="41" xfId="1" applyFont="1" applyFill="1" applyBorder="1" applyAlignment="1">
      <alignment horizontal="right"/>
    </xf>
    <xf numFmtId="10" fontId="12" fillId="6" borderId="54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0" fontId="12" fillId="7" borderId="46" xfId="1" applyFont="1" applyFill="1" applyBorder="1" applyAlignment="1">
      <alignment horizontal="center"/>
    </xf>
    <xf numFmtId="174" fontId="12" fillId="2" borderId="0" xfId="1" applyNumberFormat="1" applyFont="1" applyFill="1" applyAlignment="1">
      <alignment horizontal="center"/>
    </xf>
    <xf numFmtId="0" fontId="11" fillId="2" borderId="47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30" xfId="1" applyFont="1" applyFill="1" applyBorder="1" applyAlignment="1">
      <alignment horizontal="center"/>
    </xf>
    <xf numFmtId="0" fontId="10" fillId="2" borderId="48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171" fontId="12" fillId="3" borderId="34" xfId="1" applyNumberFormat="1" applyFont="1" applyFill="1" applyBorder="1" applyAlignment="1" applyProtection="1">
      <alignment horizontal="center"/>
      <protection locked="0"/>
    </xf>
    <xf numFmtId="1" fontId="11" fillId="6" borderId="49" xfId="1" applyNumberFormat="1" applyFont="1" applyFill="1" applyBorder="1" applyAlignment="1">
      <alignment horizontal="center"/>
    </xf>
    <xf numFmtId="1" fontId="11" fillId="6" borderId="50" xfId="1" applyNumberFormat="1" applyFont="1" applyFill="1" applyBorder="1" applyAlignment="1">
      <alignment horizontal="center"/>
    </xf>
    <xf numFmtId="171" fontId="11" fillId="6" borderId="15" xfId="1" applyNumberFormat="1" applyFont="1" applyFill="1" applyBorder="1" applyAlignment="1">
      <alignment horizontal="center"/>
    </xf>
    <xf numFmtId="0" fontId="10" fillId="2" borderId="51" xfId="1" applyFont="1" applyFill="1" applyBorder="1" applyAlignment="1">
      <alignment horizontal="right"/>
    </xf>
    <xf numFmtId="0" fontId="12" fillId="3" borderId="52" xfId="1" applyFont="1" applyFill="1" applyBorder="1" applyAlignment="1" applyProtection="1">
      <alignment horizontal="center"/>
      <protection locked="0"/>
    </xf>
    <xf numFmtId="0" fontId="10" fillId="2" borderId="25" xfId="1" applyFont="1" applyFill="1" applyBorder="1" applyAlignment="1">
      <alignment horizontal="right"/>
    </xf>
    <xf numFmtId="2" fontId="10" fillId="6" borderId="27" xfId="1" applyNumberFormat="1" applyFont="1" applyFill="1" applyBorder="1" applyAlignment="1">
      <alignment horizontal="center"/>
    </xf>
    <xf numFmtId="2" fontId="10" fillId="7" borderId="27" xfId="1" applyNumberFormat="1" applyFont="1" applyFill="1" applyBorder="1" applyAlignment="1">
      <alignment horizontal="center"/>
    </xf>
    <xf numFmtId="166" fontId="10" fillId="6" borderId="27" xfId="1" applyNumberFormat="1" applyFont="1" applyFill="1" applyBorder="1" applyAlignment="1">
      <alignment horizontal="center"/>
    </xf>
    <xf numFmtId="166" fontId="10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53" xfId="1" applyFont="1" applyFill="1" applyBorder="1" applyAlignment="1">
      <alignment horizontal="right"/>
    </xf>
    <xf numFmtId="2" fontId="10" fillId="7" borderId="30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6" xfId="1" applyFont="1" applyFill="1" applyBorder="1" applyAlignment="1">
      <alignment horizontal="right"/>
    </xf>
    <xf numFmtId="171" fontId="11" fillId="7" borderId="16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7" borderId="17" xfId="1" applyFont="1" applyFill="1" applyBorder="1" applyAlignment="1">
      <alignment horizontal="center"/>
    </xf>
    <xf numFmtId="0" fontId="11" fillId="2" borderId="22" xfId="1" applyFont="1" applyFill="1" applyBorder="1" applyAlignment="1">
      <alignment horizontal="center" wrapText="1"/>
    </xf>
    <xf numFmtId="166" fontId="10" fillId="2" borderId="13" xfId="1" applyNumberFormat="1" applyFont="1" applyFill="1" applyBorder="1" applyAlignment="1">
      <alignment horizontal="center"/>
    </xf>
    <xf numFmtId="173" fontId="10" fillId="2" borderId="22" xfId="1" applyNumberFormat="1" applyFont="1" applyFill="1" applyBorder="1" applyAlignment="1">
      <alignment horizontal="center"/>
    </xf>
    <xf numFmtId="166" fontId="10" fillId="2" borderId="14" xfId="1" applyNumberFormat="1" applyFont="1" applyFill="1" applyBorder="1" applyAlignment="1">
      <alignment horizontal="center"/>
    </xf>
    <xf numFmtId="173" fontId="10" fillId="2" borderId="24" xfId="1" applyNumberFormat="1" applyFont="1" applyFill="1" applyBorder="1" applyAlignment="1">
      <alignment horizontal="center"/>
    </xf>
    <xf numFmtId="166" fontId="10" fillId="2" borderId="15" xfId="1" applyNumberFormat="1" applyFont="1" applyFill="1" applyBorder="1" applyAlignment="1">
      <alignment horizontal="center"/>
    </xf>
    <xf numFmtId="173" fontId="10" fillId="2" borderId="44" xfId="1" applyNumberFormat="1" applyFont="1" applyFill="1" applyBorder="1" applyAlignment="1">
      <alignment horizontal="center"/>
    </xf>
    <xf numFmtId="0" fontId="10" fillId="2" borderId="23" xfId="1" applyFont="1" applyFill="1" applyBorder="1" applyAlignment="1">
      <alignment horizontal="center"/>
    </xf>
    <xf numFmtId="171" fontId="10" fillId="2" borderId="16" xfId="1" applyNumberFormat="1" applyFont="1" applyFill="1" applyBorder="1" applyAlignment="1">
      <alignment horizontal="right"/>
    </xf>
    <xf numFmtId="2" fontId="12" fillId="7" borderId="55" xfId="1" applyNumberFormat="1" applyFont="1" applyFill="1" applyBorder="1" applyAlignment="1">
      <alignment horizontal="center"/>
    </xf>
    <xf numFmtId="174" fontId="12" fillId="7" borderId="52" xfId="1" applyNumberFormat="1" applyFont="1" applyFill="1" applyBorder="1" applyAlignment="1">
      <alignment horizontal="center"/>
    </xf>
    <xf numFmtId="0" fontId="10" fillId="2" borderId="23" xfId="1" applyFont="1" applyFill="1" applyBorder="1"/>
    <xf numFmtId="0" fontId="10" fillId="2" borderId="14" xfId="1" applyFont="1" applyFill="1" applyBorder="1" applyAlignment="1">
      <alignment horizontal="right"/>
    </xf>
    <xf numFmtId="10" fontId="12" fillId="6" borderId="27" xfId="1" applyNumberFormat="1" applyFont="1" applyFill="1" applyBorder="1" applyAlignment="1">
      <alignment horizontal="center"/>
    </xf>
    <xf numFmtId="0" fontId="10" fillId="2" borderId="43" xfId="1" applyFont="1" applyFill="1" applyBorder="1"/>
    <xf numFmtId="0" fontId="12" fillId="7" borderId="28" xfId="1" applyFont="1" applyFill="1" applyBorder="1" applyAlignment="1">
      <alignment horizontal="center"/>
    </xf>
    <xf numFmtId="0" fontId="12" fillId="7" borderId="56" xfId="1" applyFont="1" applyFill="1" applyBorder="1" applyAlignment="1">
      <alignment horizontal="center"/>
    </xf>
    <xf numFmtId="0" fontId="10" fillId="2" borderId="13" xfId="1" applyFont="1" applyFill="1" applyBorder="1"/>
    <xf numFmtId="0" fontId="18" fillId="2" borderId="0" xfId="1" applyFont="1" applyFill="1" applyAlignment="1">
      <alignment horizontal="right" vertical="center" wrapText="1"/>
    </xf>
    <xf numFmtId="2" fontId="12" fillId="6" borderId="54" xfId="1" applyNumberFormat="1" applyFont="1" applyFill="1" applyBorder="1" applyAlignment="1">
      <alignment horizontal="center"/>
    </xf>
    <xf numFmtId="174" fontId="12" fillId="6" borderId="54" xfId="1" applyNumberFormat="1" applyFont="1" applyFill="1" applyBorder="1" applyAlignment="1">
      <alignment horizontal="center"/>
    </xf>
    <xf numFmtId="2" fontId="12" fillId="7" borderId="46" xfId="1" applyNumberFormat="1" applyFont="1" applyFill="1" applyBorder="1" applyAlignment="1">
      <alignment horizontal="center"/>
    </xf>
    <xf numFmtId="174" fontId="12" fillId="7" borderId="46" xfId="1" applyNumberFormat="1" applyFont="1" applyFill="1" applyBorder="1" applyAlignment="1">
      <alignment horizontal="center"/>
    </xf>
    <xf numFmtId="175" fontId="19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/>
    <xf numFmtId="0" fontId="10" fillId="2" borderId="10" xfId="1" applyFont="1" applyFill="1" applyBorder="1" applyAlignment="1">
      <alignment horizontal="center"/>
    </xf>
    <xf numFmtId="0" fontId="10" fillId="2" borderId="7" xfId="1" applyFont="1" applyFill="1" applyBorder="1"/>
    <xf numFmtId="0" fontId="11" fillId="2" borderId="11" xfId="1" applyFont="1" applyFill="1" applyBorder="1"/>
    <xf numFmtId="0" fontId="10" fillId="2" borderId="11" xfId="1" applyFont="1" applyFill="1" applyBorder="1"/>
    <xf numFmtId="10" fontId="14" fillId="2" borderId="14" xfId="1" applyNumberFormat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left" vertical="center" wrapText="1"/>
    </xf>
    <xf numFmtId="0" fontId="18" fillId="2" borderId="43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18" fillId="2" borderId="22" xfId="1" applyFont="1" applyFill="1" applyBorder="1" applyAlignment="1">
      <alignment horizontal="left" vertical="center" wrapText="1"/>
    </xf>
    <xf numFmtId="0" fontId="18" fillId="2" borderId="44" xfId="1" applyFont="1" applyFill="1" applyBorder="1" applyAlignment="1">
      <alignment horizontal="left" vertical="center" wrapText="1"/>
    </xf>
    <xf numFmtId="0" fontId="11" fillId="2" borderId="47" xfId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8" fillId="2" borderId="18" xfId="1" applyFont="1" applyFill="1" applyBorder="1" applyAlignment="1">
      <alignment horizontal="justify" vertical="center" wrapText="1"/>
    </xf>
    <xf numFmtId="0" fontId="18" fillId="2" borderId="19" xfId="1" applyFont="1" applyFill="1" applyBorder="1" applyAlignment="1">
      <alignment horizontal="justify" vertical="center" wrapText="1"/>
    </xf>
    <xf numFmtId="0" fontId="18" fillId="2" borderId="20" xfId="1" applyFont="1" applyFill="1" applyBorder="1" applyAlignment="1">
      <alignment horizontal="justify" vertical="center" wrapText="1"/>
    </xf>
    <xf numFmtId="0" fontId="18" fillId="2" borderId="18" xfId="1" applyFont="1" applyFill="1" applyBorder="1" applyAlignment="1">
      <alignment horizontal="left" vertical="center" wrapText="1"/>
    </xf>
    <xf numFmtId="0" fontId="18" fillId="2" borderId="19" xfId="1" applyFont="1" applyFill="1" applyBorder="1" applyAlignment="1">
      <alignment horizontal="left" vertical="center" wrapText="1"/>
    </xf>
    <xf numFmtId="0" fontId="18" fillId="2" borderId="20" xfId="1" applyFont="1" applyFill="1" applyBorder="1" applyAlignment="1">
      <alignment horizontal="left" vertical="center" wrapText="1"/>
    </xf>
    <xf numFmtId="0" fontId="11" fillId="2" borderId="47" xfId="1" applyFont="1" applyFill="1" applyBorder="1" applyAlignment="1">
      <alignment horizontal="center"/>
    </xf>
    <xf numFmtId="0" fontId="11" fillId="2" borderId="55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2" fontId="12" fillId="3" borderId="13" xfId="1" applyNumberFormat="1" applyFont="1" applyFill="1" applyBorder="1" applyAlignment="1" applyProtection="1">
      <alignment horizontal="center" vertical="center"/>
      <protection locked="0"/>
    </xf>
    <xf numFmtId="2" fontId="12" fillId="3" borderId="14" xfId="1" applyNumberFormat="1" applyFont="1" applyFill="1" applyBorder="1" applyAlignment="1" applyProtection="1">
      <alignment horizontal="center" vertical="center"/>
      <protection locked="0"/>
    </xf>
    <xf numFmtId="2" fontId="12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43" xfId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center" vertical="center" wrapText="1"/>
    </xf>
    <xf numFmtId="0" fontId="18" fillId="2" borderId="22" xfId="1" applyFont="1" applyFill="1" applyBorder="1" applyAlignment="1">
      <alignment horizontal="center" vertical="center" wrapText="1"/>
    </xf>
    <xf numFmtId="0" fontId="18" fillId="2" borderId="43" xfId="1" applyFont="1" applyFill="1" applyBorder="1" applyAlignment="1">
      <alignment horizontal="center" vertical="center" wrapText="1"/>
    </xf>
    <xf numFmtId="0" fontId="18" fillId="2" borderId="44" xfId="1" applyFont="1" applyFill="1" applyBorder="1" applyAlignment="1">
      <alignment horizontal="center" vertical="center" wrapText="1"/>
    </xf>
    <xf numFmtId="0" fontId="11" fillId="2" borderId="4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 wrapText="1"/>
      <protection locked="0"/>
    </xf>
    <xf numFmtId="0" fontId="12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8" fillId="2" borderId="18" xfId="1" applyFont="1" applyFill="1" applyBorder="1" applyAlignment="1">
      <alignment horizontal="center"/>
    </xf>
    <xf numFmtId="0" fontId="18" fillId="2" borderId="19" xfId="1" applyFont="1" applyFill="1" applyBorder="1" applyAlignment="1">
      <alignment horizontal="center"/>
    </xf>
    <xf numFmtId="0" fontId="18" fillId="2" borderId="2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1" fontId="12" fillId="3" borderId="13" xfId="1" applyNumberFormat="1" applyFont="1" applyFill="1" applyBorder="1" applyAlignment="1" applyProtection="1">
      <alignment horizontal="center"/>
      <protection locked="0"/>
    </xf>
    <xf numFmtId="171" fontId="12" fillId="3" borderId="14" xfId="1" applyNumberFormat="1" applyFont="1" applyFill="1" applyBorder="1" applyAlignment="1" applyProtection="1">
      <alignment horizontal="center"/>
      <protection locked="0"/>
    </xf>
    <xf numFmtId="171" fontId="12" fillId="3" borderId="15" xfId="1" applyNumberFormat="1" applyFont="1" applyFill="1" applyBorder="1" applyAlignment="1" applyProtection="1">
      <alignment horizontal="center"/>
      <protection locked="0"/>
    </xf>
    <xf numFmtId="0" fontId="25" fillId="2" borderId="0" xfId="2" applyFont="1" applyFill="1"/>
    <xf numFmtId="0" fontId="26" fillId="2" borderId="0" xfId="2" applyFont="1" applyFill="1"/>
    <xf numFmtId="0" fontId="26" fillId="2" borderId="0" xfId="2" applyFont="1" applyFill="1" applyAlignment="1">
      <alignment horizontal="right"/>
    </xf>
    <xf numFmtId="0" fontId="27" fillId="2" borderId="0" xfId="2" applyFont="1" applyFill="1" applyAlignment="1">
      <alignment horizontal="center"/>
    </xf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64" fontId="29" fillId="2" borderId="0" xfId="2" applyNumberFormat="1" applyFont="1" applyFill="1" applyAlignment="1">
      <alignment horizontal="center"/>
    </xf>
    <xf numFmtId="0" fontId="29" fillId="2" borderId="1" xfId="2" applyFont="1" applyFill="1" applyBorder="1" applyAlignment="1">
      <alignment horizontal="center"/>
    </xf>
    <xf numFmtId="0" fontId="29" fillId="2" borderId="2" xfId="2" applyFont="1" applyFill="1" applyBorder="1" applyAlignment="1">
      <alignment horizontal="center"/>
    </xf>
    <xf numFmtId="0" fontId="30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30" fillId="2" borderId="4" xfId="2" applyFont="1" applyFill="1" applyBorder="1"/>
    <xf numFmtId="1" fontId="29" fillId="4" borderId="2" xfId="2" applyNumberFormat="1" applyFont="1" applyFill="1" applyBorder="1" applyAlignment="1">
      <alignment horizontal="center"/>
    </xf>
    <xf numFmtId="1" fontId="29" fillId="4" borderId="1" xfId="2" applyNumberFormat="1" applyFont="1" applyFill="1" applyBorder="1" applyAlignment="1">
      <alignment horizontal="center"/>
    </xf>
    <xf numFmtId="2" fontId="29" fillId="4" borderId="1" xfId="2" applyNumberFormat="1" applyFont="1" applyFill="1" applyBorder="1" applyAlignment="1">
      <alignment horizontal="center"/>
    </xf>
    <xf numFmtId="0" fontId="30" fillId="2" borderId="3" xfId="2" applyFont="1" applyFill="1" applyBorder="1"/>
    <xf numFmtId="10" fontId="29" fillId="5" borderId="1" xfId="2" applyNumberFormat="1" applyFont="1" applyFill="1" applyBorder="1" applyAlignment="1">
      <alignment horizontal="center"/>
    </xf>
    <xf numFmtId="165" fontId="29" fillId="2" borderId="0" xfId="2" applyNumberFormat="1" applyFont="1" applyFill="1" applyAlignment="1">
      <alignment horizontal="center"/>
    </xf>
    <xf numFmtId="0" fontId="30" fillId="2" borderId="6" xfId="2" applyFont="1" applyFill="1" applyBorder="1"/>
    <xf numFmtId="0" fontId="30" fillId="2" borderId="5" xfId="2" applyFont="1" applyFill="1" applyBorder="1"/>
    <xf numFmtId="0" fontId="29" fillId="4" borderId="1" xfId="2" applyFont="1" applyFill="1" applyBorder="1" applyAlignment="1">
      <alignment horizontal="center"/>
    </xf>
    <xf numFmtId="0" fontId="29" fillId="2" borderId="7" xfId="2" applyFont="1" applyFill="1" applyBorder="1" applyAlignment="1">
      <alignment horizontal="center"/>
    </xf>
    <xf numFmtId="0" fontId="30" fillId="2" borderId="7" xfId="2" applyFont="1" applyFill="1" applyBorder="1"/>
    <xf numFmtId="0" fontId="30" fillId="2" borderId="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0" fontId="24" fillId="2" borderId="0" xfId="2" applyFill="1"/>
    <xf numFmtId="0" fontId="25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7" xfId="2" applyFont="1" applyFill="1" applyBorder="1"/>
    <xf numFmtId="0" fontId="25" fillId="2" borderId="11" xfId="2" applyFont="1" applyFill="1" applyBorder="1"/>
    <xf numFmtId="0" fontId="26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C46" sqref="C46"/>
    </sheetView>
  </sheetViews>
  <sheetFormatPr defaultRowHeight="13.5" x14ac:dyDescent="0.25"/>
  <cols>
    <col min="1" max="1" width="27.5703125" style="264" customWidth="1"/>
    <col min="2" max="2" width="20.42578125" style="264" customWidth="1"/>
    <col min="3" max="3" width="31.85546875" style="264" customWidth="1"/>
    <col min="4" max="4" width="25.85546875" style="264" customWidth="1"/>
    <col min="5" max="5" width="25.7109375" style="264" customWidth="1"/>
    <col min="6" max="6" width="23.140625" style="264" customWidth="1"/>
    <col min="7" max="7" width="28.42578125" style="264" customWidth="1"/>
    <col min="8" max="8" width="21.5703125" style="264" customWidth="1"/>
    <col min="9" max="9" width="9.140625" style="264" customWidth="1"/>
    <col min="10" max="16384" width="9.140625" style="301"/>
  </cols>
  <sheetData>
    <row r="14" spans="1:6" ht="15" customHeight="1" x14ac:dyDescent="0.3">
      <c r="A14" s="263"/>
      <c r="C14" s="265"/>
      <c r="F14" s="265"/>
    </row>
    <row r="15" spans="1:6" ht="18.75" customHeight="1" x14ac:dyDescent="0.3">
      <c r="A15" s="266" t="s">
        <v>0</v>
      </c>
      <c r="B15" s="266"/>
      <c r="C15" s="266"/>
      <c r="D15" s="266"/>
      <c r="E15" s="266"/>
    </row>
    <row r="16" spans="1:6" ht="16.5" customHeight="1" x14ac:dyDescent="0.3">
      <c r="A16" s="267" t="s">
        <v>1</v>
      </c>
      <c r="B16" s="268" t="s">
        <v>2</v>
      </c>
    </row>
    <row r="17" spans="1:5" ht="16.5" customHeight="1" x14ac:dyDescent="0.3">
      <c r="A17" s="269" t="s">
        <v>3</v>
      </c>
      <c r="B17" s="269" t="s">
        <v>5</v>
      </c>
      <c r="D17" s="270"/>
      <c r="E17" s="271"/>
    </row>
    <row r="18" spans="1:5" ht="16.5" customHeight="1" x14ac:dyDescent="0.3">
      <c r="A18" s="272" t="s">
        <v>4</v>
      </c>
      <c r="B18" s="264" t="s">
        <v>129</v>
      </c>
      <c r="C18" s="271"/>
      <c r="D18" s="271"/>
      <c r="E18" s="271"/>
    </row>
    <row r="19" spans="1:5" ht="16.5" customHeight="1" x14ac:dyDescent="0.3">
      <c r="A19" s="272" t="s">
        <v>6</v>
      </c>
      <c r="B19" s="273">
        <v>99.83</v>
      </c>
      <c r="C19" s="271"/>
      <c r="D19" s="271"/>
      <c r="E19" s="271"/>
    </row>
    <row r="20" spans="1:5" ht="16.5" customHeight="1" x14ac:dyDescent="0.3">
      <c r="A20" s="269" t="s">
        <v>8</v>
      </c>
      <c r="B20" s="273">
        <v>27.05</v>
      </c>
      <c r="C20" s="271"/>
      <c r="D20" s="271"/>
      <c r="E20" s="271"/>
    </row>
    <row r="21" spans="1:5" ht="16.5" customHeight="1" x14ac:dyDescent="0.3">
      <c r="A21" s="269" t="s">
        <v>10</v>
      </c>
      <c r="B21" s="274">
        <f>B20/50</f>
        <v>0.54100000000000004</v>
      </c>
      <c r="C21" s="271"/>
      <c r="D21" s="271"/>
      <c r="E21" s="271"/>
    </row>
    <row r="22" spans="1:5" ht="15.75" customHeight="1" x14ac:dyDescent="0.25">
      <c r="A22" s="271"/>
      <c r="B22" s="271" t="s">
        <v>128</v>
      </c>
      <c r="C22" s="271"/>
      <c r="D22" s="271"/>
      <c r="E22" s="271"/>
    </row>
    <row r="23" spans="1:5" ht="16.5" customHeight="1" x14ac:dyDescent="0.3">
      <c r="A23" s="275" t="s">
        <v>13</v>
      </c>
      <c r="B23" s="276" t="s">
        <v>14</v>
      </c>
      <c r="C23" s="275" t="s">
        <v>15</v>
      </c>
      <c r="D23" s="275" t="s">
        <v>16</v>
      </c>
      <c r="E23" s="275" t="s">
        <v>17</v>
      </c>
    </row>
    <row r="24" spans="1:5" ht="16.5" customHeight="1" x14ac:dyDescent="0.3">
      <c r="A24" s="277">
        <v>1</v>
      </c>
      <c r="B24" s="278">
        <v>33153206</v>
      </c>
      <c r="C24" s="278">
        <v>8381.1</v>
      </c>
      <c r="D24" s="279">
        <v>1.1000000000000001</v>
      </c>
      <c r="E24" s="280">
        <v>5.0999999999999996</v>
      </c>
    </row>
    <row r="25" spans="1:5" ht="16.5" customHeight="1" x14ac:dyDescent="0.3">
      <c r="A25" s="277">
        <v>2</v>
      </c>
      <c r="B25" s="278">
        <v>33228883</v>
      </c>
      <c r="C25" s="278">
        <v>8538.9</v>
      </c>
      <c r="D25" s="279">
        <v>1.1000000000000001</v>
      </c>
      <c r="E25" s="279">
        <v>5.0999999999999996</v>
      </c>
    </row>
    <row r="26" spans="1:5" ht="16.5" customHeight="1" x14ac:dyDescent="0.3">
      <c r="A26" s="277">
        <v>3</v>
      </c>
      <c r="B26" s="278">
        <v>33433921</v>
      </c>
      <c r="C26" s="278">
        <v>8571.9</v>
      </c>
      <c r="D26" s="279">
        <v>1.1000000000000001</v>
      </c>
      <c r="E26" s="279">
        <v>5.0999999999999996</v>
      </c>
    </row>
    <row r="27" spans="1:5" ht="16.5" customHeight="1" x14ac:dyDescent="0.3">
      <c r="A27" s="277">
        <v>4</v>
      </c>
      <c r="B27" s="278">
        <v>33445112</v>
      </c>
      <c r="C27" s="278">
        <v>8642.9</v>
      </c>
      <c r="D27" s="279">
        <v>1.1000000000000001</v>
      </c>
      <c r="E27" s="279">
        <v>5.0999999999999996</v>
      </c>
    </row>
    <row r="28" spans="1:5" ht="16.5" customHeight="1" x14ac:dyDescent="0.3">
      <c r="A28" s="277">
        <v>5</v>
      </c>
      <c r="B28" s="278">
        <v>33457847</v>
      </c>
      <c r="C28" s="278">
        <v>8632.4</v>
      </c>
      <c r="D28" s="279">
        <v>1.1000000000000001</v>
      </c>
      <c r="E28" s="279">
        <v>5.0999999999999996</v>
      </c>
    </row>
    <row r="29" spans="1:5" ht="16.5" customHeight="1" x14ac:dyDescent="0.3">
      <c r="A29" s="277">
        <v>6</v>
      </c>
      <c r="B29" s="281">
        <v>33285301</v>
      </c>
      <c r="C29" s="281">
        <v>8669.1</v>
      </c>
      <c r="D29" s="282">
        <v>1.1000000000000001</v>
      </c>
      <c r="E29" s="282">
        <v>5.0999999999999996</v>
      </c>
    </row>
    <row r="30" spans="1:5" ht="16.5" customHeight="1" x14ac:dyDescent="0.3">
      <c r="A30" s="283" t="s">
        <v>18</v>
      </c>
      <c r="B30" s="284">
        <f>AVERAGE(B24:B29)</f>
        <v>33334045</v>
      </c>
      <c r="C30" s="285">
        <f>AVERAGE(C24:C29)</f>
        <v>8572.7166666666672</v>
      </c>
      <c r="D30" s="286">
        <f>AVERAGE(D24:D29)</f>
        <v>1.0999999999999999</v>
      </c>
      <c r="E30" s="286">
        <f>AVERAGE(E24:E29)</f>
        <v>5.1000000000000005</v>
      </c>
    </row>
    <row r="31" spans="1:5" ht="16.5" customHeight="1" x14ac:dyDescent="0.3">
      <c r="A31" s="287" t="s">
        <v>19</v>
      </c>
      <c r="B31" s="288">
        <f>(STDEV(B24:B29)/B30)</f>
        <v>3.8831687496742092E-3</v>
      </c>
      <c r="C31" s="289"/>
      <c r="D31" s="289"/>
      <c r="E31" s="290"/>
    </row>
    <row r="32" spans="1:5" s="264" customFormat="1" ht="16.5" customHeight="1" x14ac:dyDescent="0.3">
      <c r="A32" s="291" t="s">
        <v>20</v>
      </c>
      <c r="B32" s="292">
        <f>COUNT(B24:B29)</f>
        <v>6</v>
      </c>
      <c r="C32" s="293"/>
      <c r="D32" s="294"/>
      <c r="E32" s="295"/>
    </row>
    <row r="33" spans="1:5" s="264" customFormat="1" ht="15.75" customHeight="1" x14ac:dyDescent="0.25">
      <c r="A33" s="271"/>
      <c r="B33" s="271"/>
      <c r="C33" s="271"/>
      <c r="D33" s="271"/>
      <c r="E33" s="271"/>
    </row>
    <row r="34" spans="1:5" s="264" customFormat="1" ht="16.5" customHeight="1" x14ac:dyDescent="0.3">
      <c r="A34" s="272" t="s">
        <v>21</v>
      </c>
      <c r="B34" s="296" t="s">
        <v>131</v>
      </c>
      <c r="C34" s="297"/>
      <c r="D34" s="297"/>
      <c r="E34" s="297"/>
    </row>
    <row r="35" spans="1:5" ht="16.5" customHeight="1" x14ac:dyDescent="0.3">
      <c r="A35" s="272"/>
      <c r="B35" s="296" t="s">
        <v>132</v>
      </c>
      <c r="C35" s="297"/>
      <c r="D35" s="297"/>
      <c r="E35" s="297"/>
    </row>
    <row r="36" spans="1:5" ht="16.5" customHeight="1" x14ac:dyDescent="0.3">
      <c r="A36" s="272"/>
      <c r="B36" s="296" t="s">
        <v>133</v>
      </c>
      <c r="C36" s="297"/>
      <c r="D36" s="297"/>
      <c r="E36" s="297"/>
    </row>
    <row r="37" spans="1:5" ht="15.75" customHeight="1" x14ac:dyDescent="0.25">
      <c r="A37" s="271"/>
      <c r="B37" s="271"/>
      <c r="C37" s="271"/>
      <c r="D37" s="271"/>
      <c r="E37" s="271"/>
    </row>
    <row r="38" spans="1:5" ht="16.5" customHeight="1" x14ac:dyDescent="0.3">
      <c r="A38" s="267" t="s">
        <v>1</v>
      </c>
      <c r="B38" s="268" t="s">
        <v>22</v>
      </c>
    </row>
    <row r="39" spans="1:5" ht="16.5" customHeight="1" x14ac:dyDescent="0.3">
      <c r="A39" s="272" t="s">
        <v>4</v>
      </c>
      <c r="B39" s="269"/>
      <c r="C39" s="271"/>
      <c r="D39" s="271"/>
      <c r="E39" s="271"/>
    </row>
    <row r="40" spans="1:5" ht="16.5" customHeight="1" x14ac:dyDescent="0.3">
      <c r="A40" s="272" t="s">
        <v>6</v>
      </c>
      <c r="B40" s="273"/>
      <c r="C40" s="271"/>
      <c r="D40" s="271"/>
      <c r="E40" s="271"/>
    </row>
    <row r="41" spans="1:5" ht="16.5" customHeight="1" x14ac:dyDescent="0.3">
      <c r="A41" s="269" t="s">
        <v>8</v>
      </c>
      <c r="B41" s="273"/>
      <c r="C41" s="271"/>
      <c r="D41" s="271"/>
      <c r="E41" s="271"/>
    </row>
    <row r="42" spans="1:5" ht="16.5" customHeight="1" x14ac:dyDescent="0.3">
      <c r="A42" s="269" t="s">
        <v>10</v>
      </c>
      <c r="B42" s="274"/>
      <c r="C42" s="271"/>
      <c r="D42" s="271"/>
      <c r="E42" s="271"/>
    </row>
    <row r="43" spans="1:5" ht="15.75" customHeight="1" x14ac:dyDescent="0.25">
      <c r="A43" s="271"/>
      <c r="B43" s="271"/>
      <c r="C43" s="271"/>
      <c r="D43" s="271"/>
      <c r="E43" s="271"/>
    </row>
    <row r="44" spans="1:5" ht="16.5" customHeight="1" x14ac:dyDescent="0.3">
      <c r="A44" s="275" t="s">
        <v>13</v>
      </c>
      <c r="B44" s="276" t="s">
        <v>14</v>
      </c>
      <c r="C44" s="275" t="s">
        <v>15</v>
      </c>
      <c r="D44" s="275" t="s">
        <v>16</v>
      </c>
      <c r="E44" s="275" t="s">
        <v>17</v>
      </c>
    </row>
    <row r="45" spans="1:5" ht="16.5" customHeight="1" x14ac:dyDescent="0.3">
      <c r="A45" s="277">
        <v>1</v>
      </c>
      <c r="B45" s="278"/>
      <c r="C45" s="278"/>
      <c r="D45" s="279"/>
      <c r="E45" s="280"/>
    </row>
    <row r="46" spans="1:5" ht="16.5" customHeight="1" x14ac:dyDescent="0.3">
      <c r="A46" s="277">
        <v>2</v>
      </c>
      <c r="B46" s="278"/>
      <c r="C46" s="278"/>
      <c r="D46" s="279"/>
      <c r="E46" s="279"/>
    </row>
    <row r="47" spans="1:5" ht="16.5" customHeight="1" x14ac:dyDescent="0.3">
      <c r="A47" s="277">
        <v>3</v>
      </c>
      <c r="B47" s="278"/>
      <c r="C47" s="278"/>
      <c r="D47" s="279"/>
      <c r="E47" s="279"/>
    </row>
    <row r="48" spans="1:5" ht="16.5" customHeight="1" x14ac:dyDescent="0.3">
      <c r="A48" s="277">
        <v>4</v>
      </c>
      <c r="B48" s="278"/>
      <c r="C48" s="278"/>
      <c r="D48" s="279"/>
      <c r="E48" s="279"/>
    </row>
    <row r="49" spans="1:7" ht="16.5" customHeight="1" x14ac:dyDescent="0.3">
      <c r="A49" s="277">
        <v>5</v>
      </c>
      <c r="B49" s="278"/>
      <c r="C49" s="278"/>
      <c r="D49" s="279"/>
      <c r="E49" s="279"/>
    </row>
    <row r="50" spans="1:7" ht="16.5" customHeight="1" x14ac:dyDescent="0.3">
      <c r="A50" s="277">
        <v>6</v>
      </c>
      <c r="B50" s="281"/>
      <c r="C50" s="281"/>
      <c r="D50" s="282"/>
      <c r="E50" s="282"/>
    </row>
    <row r="51" spans="1:7" ht="16.5" customHeight="1" x14ac:dyDescent="0.3">
      <c r="A51" s="283" t="s">
        <v>18</v>
      </c>
      <c r="B51" s="284" t="e">
        <f>AVERAGE(B45:B50)</f>
        <v>#DIV/0!</v>
      </c>
      <c r="C51" s="285" t="e">
        <f>AVERAGE(C45:C50)</f>
        <v>#DIV/0!</v>
      </c>
      <c r="D51" s="286" t="e">
        <f>AVERAGE(D45:D50)</f>
        <v>#DIV/0!</v>
      </c>
      <c r="E51" s="286" t="e">
        <f>AVERAGE(E45:E50)</f>
        <v>#DIV/0!</v>
      </c>
    </row>
    <row r="52" spans="1:7" ht="16.5" customHeight="1" x14ac:dyDescent="0.3">
      <c r="A52" s="287" t="s">
        <v>19</v>
      </c>
      <c r="B52" s="288" t="e">
        <f>(STDEV(B45:B50)/B51)</f>
        <v>#DIV/0!</v>
      </c>
      <c r="C52" s="289"/>
      <c r="D52" s="289"/>
      <c r="E52" s="290"/>
    </row>
    <row r="53" spans="1:7" s="264" customFormat="1" ht="16.5" customHeight="1" x14ac:dyDescent="0.3">
      <c r="A53" s="291" t="s">
        <v>20</v>
      </c>
      <c r="B53" s="292">
        <f>COUNT(B45:B50)</f>
        <v>0</v>
      </c>
      <c r="C53" s="293"/>
      <c r="D53" s="294"/>
      <c r="E53" s="295"/>
    </row>
    <row r="54" spans="1:7" s="264" customFormat="1" ht="15.75" customHeight="1" x14ac:dyDescent="0.25">
      <c r="A54" s="271"/>
      <c r="B54" s="271"/>
      <c r="C54" s="271"/>
      <c r="D54" s="271"/>
      <c r="E54" s="271"/>
    </row>
    <row r="55" spans="1:7" s="264" customFormat="1" ht="16.5" customHeight="1" x14ac:dyDescent="0.3">
      <c r="A55" s="272" t="s">
        <v>21</v>
      </c>
      <c r="B55" s="296" t="s">
        <v>131</v>
      </c>
      <c r="C55" s="297"/>
      <c r="D55" s="297"/>
      <c r="E55" s="297"/>
    </row>
    <row r="56" spans="1:7" ht="16.5" customHeight="1" x14ac:dyDescent="0.3">
      <c r="A56" s="272"/>
      <c r="B56" s="296" t="s">
        <v>132</v>
      </c>
      <c r="C56" s="297"/>
      <c r="D56" s="297"/>
      <c r="E56" s="297"/>
    </row>
    <row r="57" spans="1:7" ht="16.5" customHeight="1" x14ac:dyDescent="0.3">
      <c r="A57" s="272"/>
      <c r="B57" s="296" t="s">
        <v>133</v>
      </c>
      <c r="C57" s="297"/>
      <c r="D57" s="297"/>
      <c r="E57" s="297"/>
    </row>
    <row r="58" spans="1:7" ht="14.25" customHeight="1" thickBot="1" x14ac:dyDescent="0.3">
      <c r="A58" s="298"/>
      <c r="B58" s="299"/>
      <c r="D58" s="300"/>
      <c r="F58" s="301"/>
      <c r="G58" s="301"/>
    </row>
    <row r="59" spans="1:7" ht="15" customHeight="1" x14ac:dyDescent="0.3">
      <c r="B59" s="302" t="s">
        <v>23</v>
      </c>
      <c r="C59" s="302"/>
      <c r="E59" s="303" t="s">
        <v>24</v>
      </c>
      <c r="F59" s="304"/>
      <c r="G59" s="303" t="s">
        <v>25</v>
      </c>
    </row>
    <row r="60" spans="1:7" ht="15" customHeight="1" x14ac:dyDescent="0.3">
      <c r="A60" s="305" t="s">
        <v>26</v>
      </c>
      <c r="B60" s="306"/>
      <c r="C60" s="306"/>
      <c r="E60" s="306"/>
      <c r="G60" s="306"/>
    </row>
    <row r="61" spans="1:7" ht="15" customHeight="1" x14ac:dyDescent="0.3">
      <c r="A61" s="305" t="s">
        <v>27</v>
      </c>
      <c r="B61" s="307"/>
      <c r="C61" s="307"/>
      <c r="E61" s="307"/>
      <c r="G61" s="30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2" zoomScale="41" zoomScaleNormal="40" zoomScalePageLayoutView="41" workbookViewId="0">
      <selection activeCell="A129" sqref="A129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46" t="s">
        <v>42</v>
      </c>
      <c r="B1" s="246"/>
      <c r="C1" s="246"/>
      <c r="D1" s="246"/>
      <c r="E1" s="246"/>
      <c r="F1" s="246"/>
      <c r="G1" s="246"/>
      <c r="H1" s="246"/>
      <c r="I1" s="246"/>
    </row>
    <row r="2" spans="1:9" ht="18.75" customHeight="1" x14ac:dyDescent="0.25">
      <c r="A2" s="246"/>
      <c r="B2" s="246"/>
      <c r="C2" s="246"/>
      <c r="D2" s="246"/>
      <c r="E2" s="246"/>
      <c r="F2" s="246"/>
      <c r="G2" s="246"/>
      <c r="H2" s="246"/>
      <c r="I2" s="246"/>
    </row>
    <row r="3" spans="1:9" ht="18.75" customHeight="1" x14ac:dyDescent="0.25">
      <c r="A3" s="246"/>
      <c r="B3" s="246"/>
      <c r="C3" s="246"/>
      <c r="D3" s="246"/>
      <c r="E3" s="246"/>
      <c r="F3" s="246"/>
      <c r="G3" s="246"/>
      <c r="H3" s="246"/>
      <c r="I3" s="246"/>
    </row>
    <row r="4" spans="1:9" ht="18.75" customHeight="1" x14ac:dyDescent="0.25">
      <c r="A4" s="246"/>
      <c r="B4" s="246"/>
      <c r="C4" s="246"/>
      <c r="D4" s="246"/>
      <c r="E4" s="246"/>
      <c r="F4" s="246"/>
      <c r="G4" s="246"/>
      <c r="H4" s="246"/>
      <c r="I4" s="246"/>
    </row>
    <row r="5" spans="1:9" ht="18.75" customHeight="1" x14ac:dyDescent="0.25">
      <c r="A5" s="246"/>
      <c r="B5" s="246"/>
      <c r="C5" s="246"/>
      <c r="D5" s="246"/>
      <c r="E5" s="246"/>
      <c r="F5" s="246"/>
      <c r="G5" s="246"/>
      <c r="H5" s="246"/>
      <c r="I5" s="246"/>
    </row>
    <row r="6" spans="1:9" ht="18.75" customHeight="1" x14ac:dyDescent="0.25">
      <c r="A6" s="246"/>
      <c r="B6" s="246"/>
      <c r="C6" s="246"/>
      <c r="D6" s="246"/>
      <c r="E6" s="246"/>
      <c r="F6" s="246"/>
      <c r="G6" s="246"/>
      <c r="H6" s="246"/>
      <c r="I6" s="246"/>
    </row>
    <row r="7" spans="1:9" ht="18.75" customHeight="1" x14ac:dyDescent="0.25">
      <c r="A7" s="246"/>
      <c r="B7" s="246"/>
      <c r="C7" s="246"/>
      <c r="D7" s="246"/>
      <c r="E7" s="246"/>
      <c r="F7" s="246"/>
      <c r="G7" s="246"/>
      <c r="H7" s="246"/>
      <c r="I7" s="246"/>
    </row>
    <row r="8" spans="1:9" x14ac:dyDescent="0.25">
      <c r="A8" s="247" t="s">
        <v>43</v>
      </c>
      <c r="B8" s="247"/>
      <c r="C8" s="247"/>
      <c r="D8" s="247"/>
      <c r="E8" s="247"/>
      <c r="F8" s="247"/>
      <c r="G8" s="247"/>
      <c r="H8" s="247"/>
      <c r="I8" s="247"/>
    </row>
    <row r="9" spans="1:9" x14ac:dyDescent="0.25">
      <c r="A9" s="247"/>
      <c r="B9" s="247"/>
      <c r="C9" s="247"/>
      <c r="D9" s="247"/>
      <c r="E9" s="247"/>
      <c r="F9" s="247"/>
      <c r="G9" s="247"/>
      <c r="H9" s="247"/>
      <c r="I9" s="247"/>
    </row>
    <row r="10" spans="1:9" x14ac:dyDescent="0.25">
      <c r="A10" s="247"/>
      <c r="B10" s="247"/>
      <c r="C10" s="247"/>
      <c r="D10" s="247"/>
      <c r="E10" s="247"/>
      <c r="F10" s="247"/>
      <c r="G10" s="247"/>
      <c r="H10" s="247"/>
      <c r="I10" s="247"/>
    </row>
    <row r="11" spans="1:9" x14ac:dyDescent="0.25">
      <c r="A11" s="247"/>
      <c r="B11" s="247"/>
      <c r="C11" s="247"/>
      <c r="D11" s="247"/>
      <c r="E11" s="247"/>
      <c r="F11" s="247"/>
      <c r="G11" s="247"/>
      <c r="H11" s="247"/>
      <c r="I11" s="247"/>
    </row>
    <row r="12" spans="1:9" x14ac:dyDescent="0.25">
      <c r="A12" s="247"/>
      <c r="B12" s="247"/>
      <c r="C12" s="247"/>
      <c r="D12" s="247"/>
      <c r="E12" s="247"/>
      <c r="F12" s="247"/>
      <c r="G12" s="247"/>
      <c r="H12" s="247"/>
      <c r="I12" s="247"/>
    </row>
    <row r="13" spans="1:9" x14ac:dyDescent="0.25">
      <c r="A13" s="247"/>
      <c r="B13" s="247"/>
      <c r="C13" s="247"/>
      <c r="D13" s="247"/>
      <c r="E13" s="247"/>
      <c r="F13" s="247"/>
      <c r="G13" s="247"/>
      <c r="H13" s="247"/>
      <c r="I13" s="247"/>
    </row>
    <row r="14" spans="1:9" x14ac:dyDescent="0.25">
      <c r="A14" s="247"/>
      <c r="B14" s="247"/>
      <c r="C14" s="247"/>
      <c r="D14" s="247"/>
      <c r="E14" s="247"/>
      <c r="F14" s="247"/>
      <c r="G14" s="247"/>
      <c r="H14" s="247"/>
      <c r="I14" s="247"/>
    </row>
    <row r="15" spans="1:9" ht="19.5" customHeight="1" thickBot="1" x14ac:dyDescent="0.35">
      <c r="A15" s="49"/>
    </row>
    <row r="16" spans="1:9" ht="19.5" customHeight="1" thickBot="1" x14ac:dyDescent="0.35">
      <c r="A16" s="248" t="s">
        <v>28</v>
      </c>
      <c r="B16" s="249"/>
      <c r="C16" s="249"/>
      <c r="D16" s="249"/>
      <c r="E16" s="249"/>
      <c r="F16" s="249"/>
      <c r="G16" s="249"/>
      <c r="H16" s="250"/>
    </row>
    <row r="17" spans="1:14" ht="20.25" customHeight="1" x14ac:dyDescent="0.25">
      <c r="A17" s="251" t="s">
        <v>44</v>
      </c>
      <c r="B17" s="251"/>
      <c r="C17" s="251"/>
      <c r="D17" s="251"/>
      <c r="E17" s="251"/>
      <c r="F17" s="251"/>
      <c r="G17" s="251"/>
      <c r="H17" s="251"/>
    </row>
    <row r="18" spans="1:14" ht="26.25" customHeight="1" x14ac:dyDescent="0.4">
      <c r="A18" s="51" t="s">
        <v>30</v>
      </c>
      <c r="B18" s="244" t="s">
        <v>5</v>
      </c>
      <c r="C18" s="244"/>
      <c r="D18" s="52"/>
      <c r="E18" s="53"/>
      <c r="F18" s="54"/>
      <c r="G18" s="54"/>
      <c r="H18" s="54"/>
    </row>
    <row r="19" spans="1:14" ht="26.25" customHeight="1" x14ac:dyDescent="0.4">
      <c r="A19" s="51" t="s">
        <v>31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32</v>
      </c>
      <c r="B20" s="243" t="s">
        <v>9</v>
      </c>
      <c r="C20" s="243"/>
      <c r="D20" s="54"/>
      <c r="E20" s="54"/>
      <c r="F20" s="54"/>
      <c r="G20" s="54"/>
      <c r="H20" s="54"/>
    </row>
    <row r="21" spans="1:14" ht="26.25" customHeight="1" x14ac:dyDescent="0.4">
      <c r="A21" s="51" t="s">
        <v>33</v>
      </c>
      <c r="B21" s="243" t="s">
        <v>11</v>
      </c>
      <c r="C21" s="243"/>
      <c r="D21" s="243"/>
      <c r="E21" s="243"/>
      <c r="F21" s="243"/>
      <c r="G21" s="243"/>
      <c r="H21" s="243"/>
      <c r="I21" s="56"/>
    </row>
    <row r="22" spans="1:14" ht="26.25" customHeight="1" x14ac:dyDescent="0.4">
      <c r="A22" s="51" t="s">
        <v>34</v>
      </c>
      <c r="B22" s="57" t="s">
        <v>128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44" t="s">
        <v>129</v>
      </c>
      <c r="C26" s="244"/>
    </row>
    <row r="27" spans="1:14" ht="26.25" customHeight="1" x14ac:dyDescent="0.4">
      <c r="A27" s="61" t="s">
        <v>45</v>
      </c>
      <c r="B27" s="245" t="s">
        <v>130</v>
      </c>
      <c r="C27" s="245"/>
    </row>
    <row r="28" spans="1:14" ht="27" customHeight="1" thickBot="1" x14ac:dyDescent="0.45">
      <c r="A28" s="61" t="s">
        <v>6</v>
      </c>
      <c r="B28" s="62">
        <v>99.83</v>
      </c>
    </row>
    <row r="29" spans="1:14" s="64" customFormat="1" ht="27" customHeight="1" thickBot="1" x14ac:dyDescent="0.45">
      <c r="A29" s="61" t="s">
        <v>46</v>
      </c>
      <c r="B29" s="63">
        <v>0</v>
      </c>
      <c r="C29" s="223" t="s">
        <v>47</v>
      </c>
      <c r="D29" s="224"/>
      <c r="E29" s="224"/>
      <c r="F29" s="224"/>
      <c r="G29" s="225"/>
      <c r="I29" s="65"/>
      <c r="J29" s="65"/>
      <c r="K29" s="65"/>
      <c r="L29" s="65"/>
    </row>
    <row r="30" spans="1:14" s="64" customFormat="1" ht="19.5" customHeight="1" thickBot="1" x14ac:dyDescent="0.35">
      <c r="A30" s="61" t="s">
        <v>48</v>
      </c>
      <c r="B30" s="66">
        <f>B28-B29</f>
        <v>99.83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49</v>
      </c>
      <c r="B31" s="69">
        <v>1</v>
      </c>
      <c r="C31" s="226" t="s">
        <v>50</v>
      </c>
      <c r="D31" s="227"/>
      <c r="E31" s="227"/>
      <c r="F31" s="227"/>
      <c r="G31" s="227"/>
      <c r="H31" s="228"/>
      <c r="I31" s="65"/>
      <c r="J31" s="65"/>
      <c r="K31" s="65"/>
      <c r="L31" s="65"/>
    </row>
    <row r="32" spans="1:14" s="64" customFormat="1" ht="27" customHeight="1" thickBot="1" x14ac:dyDescent="0.45">
      <c r="A32" s="61" t="s">
        <v>51</v>
      </c>
      <c r="B32" s="69">
        <v>1</v>
      </c>
      <c r="C32" s="226" t="s">
        <v>52</v>
      </c>
      <c r="D32" s="227"/>
      <c r="E32" s="227"/>
      <c r="F32" s="227"/>
      <c r="G32" s="227"/>
      <c r="H32" s="228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53</v>
      </c>
      <c r="B34" s="74">
        <f>B31/B32</f>
        <v>1</v>
      </c>
      <c r="C34" s="49" t="s">
        <v>54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55</v>
      </c>
      <c r="B36" s="76">
        <v>50</v>
      </c>
      <c r="C36" s="49"/>
      <c r="D36" s="229" t="s">
        <v>56</v>
      </c>
      <c r="E36" s="242"/>
      <c r="F36" s="229" t="s">
        <v>57</v>
      </c>
      <c r="G36" s="230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58</v>
      </c>
      <c r="B37" s="78">
        <v>1</v>
      </c>
      <c r="C37" s="79" t="s">
        <v>59</v>
      </c>
      <c r="D37" s="80" t="s">
        <v>60</v>
      </c>
      <c r="E37" s="81" t="s">
        <v>61</v>
      </c>
      <c r="F37" s="80" t="s">
        <v>60</v>
      </c>
      <c r="G37" s="82" t="s">
        <v>61</v>
      </c>
      <c r="I37" s="83" t="s">
        <v>62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63</v>
      </c>
      <c r="B38" s="78">
        <v>1</v>
      </c>
      <c r="C38" s="84">
        <v>1</v>
      </c>
      <c r="D38" s="85">
        <v>33433864</v>
      </c>
      <c r="E38" s="86">
        <f>IF(ISBLANK(D38),"-",$D$48/$D$45*D38)</f>
        <v>30952678.703518718</v>
      </c>
      <c r="F38" s="85">
        <v>27875670</v>
      </c>
      <c r="G38" s="87">
        <f>IF(ISBLANK(F38),"-",$D$48/$F$45*F38)</f>
        <v>32021948.7808173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64</v>
      </c>
      <c r="B39" s="78">
        <v>1</v>
      </c>
      <c r="C39" s="89">
        <v>2</v>
      </c>
      <c r="D39" s="90">
        <v>33495443</v>
      </c>
      <c r="E39" s="91">
        <f>IF(ISBLANK(D39),"-",$D$48/$D$45*D39)</f>
        <v>31009687.818644747</v>
      </c>
      <c r="F39" s="90">
        <v>27918655</v>
      </c>
      <c r="G39" s="92">
        <f>IF(ISBLANK(F39),"-",$D$48/$F$45*F39)</f>
        <v>32071327.449324403</v>
      </c>
      <c r="I39" s="211">
        <f>ABS((F43/D43*D42)-F42)/D42</f>
        <v>2.919912379023815E-2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65</v>
      </c>
      <c r="B40" s="78">
        <v>1</v>
      </c>
      <c r="C40" s="89">
        <v>3</v>
      </c>
      <c r="D40" s="90">
        <v>33202412</v>
      </c>
      <c r="E40" s="91">
        <f>IF(ISBLANK(D40),"-",$D$48/$D$45*D40)</f>
        <v>30738403.159678295</v>
      </c>
      <c r="F40" s="90">
        <v>27827085</v>
      </c>
      <c r="G40" s="92">
        <f>IF(ISBLANK(F40),"-",$D$48/$F$45*F40)</f>
        <v>31966137.15793914</v>
      </c>
      <c r="I40" s="211"/>
      <c r="L40" s="70"/>
      <c r="M40" s="70"/>
      <c r="N40" s="49"/>
    </row>
    <row r="41" spans="1:14" ht="27" customHeight="1" thickBot="1" x14ac:dyDescent="0.45">
      <c r="A41" s="77" t="s">
        <v>66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67</v>
      </c>
      <c r="B42" s="78">
        <v>1</v>
      </c>
      <c r="C42" s="98" t="s">
        <v>68</v>
      </c>
      <c r="D42" s="99">
        <f>AVERAGE(D38:D41)</f>
        <v>33377239.666666668</v>
      </c>
      <c r="E42" s="100">
        <f>AVERAGE(E38:E41)</f>
        <v>30900256.560613919</v>
      </c>
      <c r="F42" s="99">
        <f>AVERAGE(F38:F41)</f>
        <v>27873803.333333332</v>
      </c>
      <c r="G42" s="101">
        <f>AVERAGE(G38:G41)</f>
        <v>32019804.462693613</v>
      </c>
      <c r="H42" s="102"/>
    </row>
    <row r="43" spans="1:14" ht="26.25" customHeight="1" x14ac:dyDescent="0.4">
      <c r="A43" s="77" t="s">
        <v>69</v>
      </c>
      <c r="B43" s="78">
        <v>1</v>
      </c>
      <c r="C43" s="103" t="s">
        <v>70</v>
      </c>
      <c r="D43" s="104">
        <v>27.05</v>
      </c>
      <c r="E43" s="49"/>
      <c r="F43" s="104">
        <v>21.8</v>
      </c>
      <c r="H43" s="102"/>
    </row>
    <row r="44" spans="1:14" ht="26.25" customHeight="1" x14ac:dyDescent="0.4">
      <c r="A44" s="77" t="s">
        <v>71</v>
      </c>
      <c r="B44" s="78">
        <v>1</v>
      </c>
      <c r="C44" s="105" t="s">
        <v>72</v>
      </c>
      <c r="D44" s="106">
        <f>D43*$B$34</f>
        <v>27.05</v>
      </c>
      <c r="E44" s="107"/>
      <c r="F44" s="106">
        <f>F43*$B$34</f>
        <v>21.8</v>
      </c>
      <c r="H44" s="102"/>
    </row>
    <row r="45" spans="1:14" ht="19.5" customHeight="1" thickBot="1" x14ac:dyDescent="0.35">
      <c r="A45" s="77" t="s">
        <v>73</v>
      </c>
      <c r="B45" s="89">
        <f>(B44/B43)*(B42/B41)*(B40/B39)*(B38/B37)*B36</f>
        <v>50</v>
      </c>
      <c r="C45" s="105" t="s">
        <v>74</v>
      </c>
      <c r="D45" s="108">
        <f>D44*$B$30/100</f>
        <v>27.004014999999999</v>
      </c>
      <c r="E45" s="109"/>
      <c r="F45" s="108">
        <f>F44*$B$30/100</f>
        <v>21.76294</v>
      </c>
      <c r="H45" s="102"/>
    </row>
    <row r="46" spans="1:14" ht="19.5" customHeight="1" thickBot="1" x14ac:dyDescent="0.35">
      <c r="A46" s="212" t="s">
        <v>75</v>
      </c>
      <c r="B46" s="216"/>
      <c r="C46" s="105" t="s">
        <v>76</v>
      </c>
      <c r="D46" s="110">
        <f>D45/$B$45</f>
        <v>0.54008029999999996</v>
      </c>
      <c r="E46" s="111"/>
      <c r="F46" s="112">
        <f>F45/$B$45</f>
        <v>0.4352588</v>
      </c>
      <c r="H46" s="102"/>
    </row>
    <row r="47" spans="1:14" ht="27" customHeight="1" thickBot="1" x14ac:dyDescent="0.45">
      <c r="A47" s="214"/>
      <c r="B47" s="217"/>
      <c r="C47" s="113" t="s">
        <v>77</v>
      </c>
      <c r="D47" s="114">
        <v>0.5</v>
      </c>
      <c r="E47" s="115"/>
      <c r="F47" s="111"/>
      <c r="H47" s="102"/>
    </row>
    <row r="48" spans="1:14" ht="18.75" x14ac:dyDescent="0.3">
      <c r="C48" s="116" t="s">
        <v>78</v>
      </c>
      <c r="D48" s="108">
        <f>D47*$B$45</f>
        <v>25</v>
      </c>
      <c r="F48" s="117"/>
      <c r="H48" s="102"/>
    </row>
    <row r="49" spans="1:12" ht="19.5" customHeight="1" thickBot="1" x14ac:dyDescent="0.35">
      <c r="C49" s="118" t="s">
        <v>79</v>
      </c>
      <c r="D49" s="119">
        <f>D48/B34</f>
        <v>25</v>
      </c>
      <c r="F49" s="117"/>
      <c r="H49" s="102"/>
    </row>
    <row r="50" spans="1:12" ht="18.75" x14ac:dyDescent="0.3">
      <c r="C50" s="75" t="s">
        <v>80</v>
      </c>
      <c r="D50" s="120">
        <f>AVERAGE(E38:E41,G38:G41)</f>
        <v>31460030.511653766</v>
      </c>
      <c r="F50" s="121"/>
      <c r="H50" s="102"/>
    </row>
    <row r="51" spans="1:12" ht="18.75" x14ac:dyDescent="0.3">
      <c r="C51" s="77" t="s">
        <v>81</v>
      </c>
      <c r="D51" s="122">
        <f>STDEV(E38:E41,G38:G41)/D50</f>
        <v>1.973081048752896E-2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82</v>
      </c>
    </row>
    <row r="55" spans="1:12" ht="18.75" x14ac:dyDescent="0.3">
      <c r="A55" s="49" t="s">
        <v>83</v>
      </c>
      <c r="B55" s="127" t="str">
        <f>B21</f>
        <v>each tablets contains metronidazole BP 400 mg.</v>
      </c>
    </row>
    <row r="56" spans="1:12" ht="26.25" customHeight="1" x14ac:dyDescent="0.4">
      <c r="A56" s="127" t="s">
        <v>84</v>
      </c>
      <c r="B56" s="128">
        <v>400</v>
      </c>
      <c r="C56" s="49" t="str">
        <f>B20</f>
        <v>Metronidazole 400 mg</v>
      </c>
      <c r="H56" s="107"/>
    </row>
    <row r="57" spans="1:12" ht="18.75" x14ac:dyDescent="0.3">
      <c r="A57" s="127" t="s">
        <v>85</v>
      </c>
      <c r="B57" s="129">
        <f>Uniformity!C46</f>
        <v>518.09249999999997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86</v>
      </c>
      <c r="B59" s="76">
        <v>250</v>
      </c>
      <c r="C59" s="49"/>
      <c r="D59" s="130" t="s">
        <v>87</v>
      </c>
      <c r="E59" s="131" t="s">
        <v>59</v>
      </c>
      <c r="F59" s="131" t="s">
        <v>60</v>
      </c>
      <c r="G59" s="131" t="s">
        <v>88</v>
      </c>
      <c r="H59" s="79" t="s">
        <v>89</v>
      </c>
      <c r="L59" s="65"/>
    </row>
    <row r="60" spans="1:12" s="64" customFormat="1" ht="26.25" customHeight="1" x14ac:dyDescent="0.4">
      <c r="A60" s="77" t="s">
        <v>90</v>
      </c>
      <c r="B60" s="78">
        <v>3</v>
      </c>
      <c r="C60" s="231" t="s">
        <v>91</v>
      </c>
      <c r="D60" s="234">
        <v>521.33000000000004</v>
      </c>
      <c r="E60" s="132">
        <v>1</v>
      </c>
      <c r="F60" s="133">
        <v>28441400</v>
      </c>
      <c r="G60" s="134">
        <f>IF(ISBLANK(F60),"-",(F60/$D$50*$D$47*$B$68)*($B$57/$D$60))</f>
        <v>374.34770704691562</v>
      </c>
      <c r="H60" s="135">
        <f t="shared" ref="H60:H71" si="0">IF(ISBLANK(F60),"-",(G60/$B$56)*100)</f>
        <v>93.586926761728904</v>
      </c>
      <c r="L60" s="65"/>
    </row>
    <row r="61" spans="1:12" s="64" customFormat="1" ht="26.25" customHeight="1" x14ac:dyDescent="0.4">
      <c r="A61" s="77" t="s">
        <v>92</v>
      </c>
      <c r="B61" s="78">
        <v>10</v>
      </c>
      <c r="C61" s="232"/>
      <c r="D61" s="235"/>
      <c r="E61" s="136">
        <v>2</v>
      </c>
      <c r="F61" s="90">
        <v>28472239</v>
      </c>
      <c r="G61" s="137">
        <f>IF(ISBLANK(F61),"-",(F61/$D$50*$D$47*$B$68)*($B$57/$D$60))</f>
        <v>374.75361213378261</v>
      </c>
      <c r="H61" s="138">
        <f t="shared" si="0"/>
        <v>93.688403033445653</v>
      </c>
      <c r="L61" s="65"/>
    </row>
    <row r="62" spans="1:12" s="64" customFormat="1" ht="26.25" customHeight="1" x14ac:dyDescent="0.4">
      <c r="A62" s="77" t="s">
        <v>93</v>
      </c>
      <c r="B62" s="78">
        <v>1</v>
      </c>
      <c r="C62" s="232"/>
      <c r="D62" s="235"/>
      <c r="E62" s="136">
        <v>3</v>
      </c>
      <c r="F62" s="139">
        <v>28524494</v>
      </c>
      <c r="G62" s="137">
        <f>IF(ISBLANK(F62),"-",(F62/$D$50*$D$47*$B$68)*($B$57/$D$60))</f>
        <v>375.44139611880928</v>
      </c>
      <c r="H62" s="138">
        <f t="shared" si="0"/>
        <v>93.86034902970232</v>
      </c>
      <c r="L62" s="65"/>
    </row>
    <row r="63" spans="1:12" ht="27" customHeight="1" thickBot="1" x14ac:dyDescent="0.45">
      <c r="A63" s="77" t="s">
        <v>94</v>
      </c>
      <c r="B63" s="78">
        <v>1</v>
      </c>
      <c r="C63" s="233"/>
      <c r="D63" s="236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95</v>
      </c>
      <c r="B64" s="78">
        <v>1</v>
      </c>
      <c r="C64" s="231" t="s">
        <v>96</v>
      </c>
      <c r="D64" s="234">
        <v>516.4</v>
      </c>
      <c r="E64" s="132">
        <v>1</v>
      </c>
      <c r="F64" s="133">
        <v>27873528</v>
      </c>
      <c r="G64" s="134">
        <f>IF(ISBLANK(F64),"-",(F64/$D$50*$D$47*$B$68)*($B$57/$D$64))</f>
        <v>370.3758252830832</v>
      </c>
      <c r="H64" s="135">
        <f t="shared" si="0"/>
        <v>92.593956320770801</v>
      </c>
    </row>
    <row r="65" spans="1:8" ht="26.25" customHeight="1" x14ac:dyDescent="0.4">
      <c r="A65" s="77" t="s">
        <v>97</v>
      </c>
      <c r="B65" s="78">
        <v>1</v>
      </c>
      <c r="C65" s="232"/>
      <c r="D65" s="235"/>
      <c r="E65" s="136">
        <v>2</v>
      </c>
      <c r="F65" s="90">
        <v>27730101</v>
      </c>
      <c r="G65" s="137">
        <f>IF(ISBLANK(F65),"-",(F65/$D$50*$D$47*$B$68)*($B$57/$D$64))</f>
        <v>368.47000648996601</v>
      </c>
      <c r="H65" s="138">
        <f t="shared" si="0"/>
        <v>92.117501622491503</v>
      </c>
    </row>
    <row r="66" spans="1:8" ht="26.25" customHeight="1" x14ac:dyDescent="0.4">
      <c r="A66" s="77" t="s">
        <v>98</v>
      </c>
      <c r="B66" s="78">
        <v>1</v>
      </c>
      <c r="C66" s="232"/>
      <c r="D66" s="235"/>
      <c r="E66" s="136">
        <v>3</v>
      </c>
      <c r="F66" s="90">
        <v>27904836</v>
      </c>
      <c r="G66" s="137">
        <f>IF(ISBLANK(F66),"-",(F66/$D$50*$D$47*$B$68)*($B$57/$D$64))</f>
        <v>370.7918374340374</v>
      </c>
      <c r="H66" s="138">
        <f t="shared" si="0"/>
        <v>92.697959358509351</v>
      </c>
    </row>
    <row r="67" spans="1:8" ht="27" customHeight="1" thickBot="1" x14ac:dyDescent="0.45">
      <c r="A67" s="77" t="s">
        <v>99</v>
      </c>
      <c r="B67" s="78">
        <v>1</v>
      </c>
      <c r="C67" s="233"/>
      <c r="D67" s="236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100</v>
      </c>
      <c r="B68" s="144">
        <f>(B67/B66)*(B65/B64)*(B63/B62)*(B61/B60)*B59</f>
        <v>833.33333333333337</v>
      </c>
      <c r="C68" s="231" t="s">
        <v>101</v>
      </c>
      <c r="D68" s="234">
        <v>517.57000000000005</v>
      </c>
      <c r="E68" s="132">
        <v>1</v>
      </c>
      <c r="F68" s="133">
        <v>28074358</v>
      </c>
      <c r="G68" s="134">
        <f>IF(ISBLANK(F68),"-",(F68/$D$50*$D$47*$B$68)*($B$57/$D$68))</f>
        <v>372.20110879734233</v>
      </c>
      <c r="H68" s="138">
        <f t="shared" si="0"/>
        <v>93.050277199335582</v>
      </c>
    </row>
    <row r="69" spans="1:8" ht="27" customHeight="1" thickBot="1" x14ac:dyDescent="0.45">
      <c r="A69" s="123" t="s">
        <v>102</v>
      </c>
      <c r="B69" s="145">
        <f>(D47*B68)/B56*B57</f>
        <v>539.6796875</v>
      </c>
      <c r="C69" s="232"/>
      <c r="D69" s="235"/>
      <c r="E69" s="136">
        <v>2</v>
      </c>
      <c r="F69" s="90">
        <v>28097648</v>
      </c>
      <c r="G69" s="137">
        <f>IF(ISBLANK(F69),"-",(F69/$D$50*$D$47*$B$68)*($B$57/$D$68))</f>
        <v>372.50988037544545</v>
      </c>
      <c r="H69" s="138">
        <f t="shared" si="0"/>
        <v>93.127470093861362</v>
      </c>
    </row>
    <row r="70" spans="1:8" ht="26.25" customHeight="1" x14ac:dyDescent="0.4">
      <c r="A70" s="238" t="s">
        <v>75</v>
      </c>
      <c r="B70" s="239"/>
      <c r="C70" s="232"/>
      <c r="D70" s="235"/>
      <c r="E70" s="136">
        <v>3</v>
      </c>
      <c r="F70" s="90">
        <v>28202449</v>
      </c>
      <c r="G70" s="137">
        <f>IF(ISBLANK(F70),"-",(F70/$D$50*$D$47*$B$68)*($B$57/$D$68))</f>
        <v>373.8992994461529</v>
      </c>
      <c r="H70" s="138">
        <f t="shared" si="0"/>
        <v>93.474824861538224</v>
      </c>
    </row>
    <row r="71" spans="1:8" ht="27" customHeight="1" thickBot="1" x14ac:dyDescent="0.45">
      <c r="A71" s="240"/>
      <c r="B71" s="241"/>
      <c r="C71" s="237"/>
      <c r="D71" s="236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68</v>
      </c>
      <c r="G72" s="147">
        <f>AVERAGE(G60:G71)</f>
        <v>372.53229701394832</v>
      </c>
      <c r="H72" s="148">
        <f>AVERAGE(H60:H71)</f>
        <v>93.133074253487081</v>
      </c>
    </row>
    <row r="73" spans="1:8" ht="26.25" customHeight="1" x14ac:dyDescent="0.4">
      <c r="C73" s="107"/>
      <c r="D73" s="107"/>
      <c r="E73" s="107"/>
      <c r="F73" s="149" t="s">
        <v>81</v>
      </c>
      <c r="G73" s="150">
        <f>STDEV(G60:G71)/G72</f>
        <v>6.2127527944997301E-3</v>
      </c>
      <c r="H73" s="150">
        <f>STDEV(H60:H71)/H72</f>
        <v>6.2127527944997301E-3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">
      <c r="A76" s="60" t="s">
        <v>103</v>
      </c>
      <c r="B76" s="61" t="s">
        <v>104</v>
      </c>
      <c r="C76" s="220" t="str">
        <f>B26</f>
        <v>Metronidazole</v>
      </c>
      <c r="D76" s="220"/>
      <c r="E76" s="49" t="s">
        <v>105</v>
      </c>
      <c r="F76" s="49"/>
      <c r="G76" s="153">
        <f>H72</f>
        <v>93.133074253487081</v>
      </c>
      <c r="H76" s="66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22" t="str">
        <f>B26</f>
        <v>Metronidazole</v>
      </c>
      <c r="C79" s="222"/>
    </row>
    <row r="80" spans="1:8" ht="26.25" customHeight="1" x14ac:dyDescent="0.4">
      <c r="A80" s="61" t="s">
        <v>45</v>
      </c>
      <c r="B80" s="222" t="str">
        <f>B27</f>
        <v>M2-4</v>
      </c>
      <c r="C80" s="222"/>
    </row>
    <row r="81" spans="1:12" ht="27" customHeight="1" thickBot="1" x14ac:dyDescent="0.45">
      <c r="A81" s="61" t="s">
        <v>6</v>
      </c>
      <c r="B81" s="62">
        <f>B28</f>
        <v>99.83</v>
      </c>
    </row>
    <row r="82" spans="1:12" s="64" customFormat="1" ht="27" customHeight="1" thickBot="1" x14ac:dyDescent="0.45">
      <c r="A82" s="61" t="s">
        <v>46</v>
      </c>
      <c r="B82" s="63">
        <v>0</v>
      </c>
      <c r="C82" s="223" t="s">
        <v>47</v>
      </c>
      <c r="D82" s="224"/>
      <c r="E82" s="224"/>
      <c r="F82" s="224"/>
      <c r="G82" s="225"/>
      <c r="I82" s="65"/>
      <c r="J82" s="65"/>
      <c r="K82" s="65"/>
      <c r="L82" s="65"/>
    </row>
    <row r="83" spans="1:12" s="64" customFormat="1" ht="19.5" customHeight="1" thickBot="1" x14ac:dyDescent="0.35">
      <c r="A83" s="61" t="s">
        <v>48</v>
      </c>
      <c r="B83" s="66">
        <f>B81-B82</f>
        <v>99.83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49</v>
      </c>
      <c r="B84" s="69">
        <v>1</v>
      </c>
      <c r="C84" s="226" t="s">
        <v>108</v>
      </c>
      <c r="D84" s="227"/>
      <c r="E84" s="227"/>
      <c r="F84" s="227"/>
      <c r="G84" s="227"/>
      <c r="H84" s="228"/>
      <c r="I84" s="65"/>
      <c r="J84" s="65"/>
      <c r="K84" s="65"/>
      <c r="L84" s="65"/>
    </row>
    <row r="85" spans="1:12" s="64" customFormat="1" ht="27" customHeight="1" thickBot="1" x14ac:dyDescent="0.45">
      <c r="A85" s="61" t="s">
        <v>51</v>
      </c>
      <c r="B85" s="69">
        <v>1</v>
      </c>
      <c r="C85" s="226" t="s">
        <v>109</v>
      </c>
      <c r="D85" s="227"/>
      <c r="E85" s="227"/>
      <c r="F85" s="227"/>
      <c r="G85" s="227"/>
      <c r="H85" s="228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53</v>
      </c>
      <c r="B87" s="74">
        <f>B84/B85</f>
        <v>1</v>
      </c>
      <c r="C87" s="49" t="s">
        <v>54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55</v>
      </c>
      <c r="B89" s="76">
        <v>100</v>
      </c>
      <c r="D89" s="154" t="s">
        <v>56</v>
      </c>
      <c r="E89" s="155"/>
      <c r="F89" s="229" t="s">
        <v>57</v>
      </c>
      <c r="G89" s="230"/>
    </row>
    <row r="90" spans="1:12" ht="27" customHeight="1" thickBot="1" x14ac:dyDescent="0.45">
      <c r="A90" s="77" t="s">
        <v>58</v>
      </c>
      <c r="B90" s="78">
        <v>10</v>
      </c>
      <c r="C90" s="156" t="s">
        <v>59</v>
      </c>
      <c r="D90" s="80" t="s">
        <v>60</v>
      </c>
      <c r="E90" s="81" t="s">
        <v>61</v>
      </c>
      <c r="F90" s="80" t="s">
        <v>60</v>
      </c>
      <c r="G90" s="157" t="s">
        <v>61</v>
      </c>
      <c r="I90" s="83" t="s">
        <v>62</v>
      </c>
    </row>
    <row r="91" spans="1:12" ht="26.25" customHeight="1" x14ac:dyDescent="0.4">
      <c r="A91" s="77" t="s">
        <v>63</v>
      </c>
      <c r="B91" s="78">
        <v>100</v>
      </c>
      <c r="C91" s="158">
        <v>1</v>
      </c>
      <c r="D91" s="85">
        <v>0.44700000000000001</v>
      </c>
      <c r="E91" s="86">
        <f>IF(ISBLANK(D91),"-",$D$101/$D$98*D91)</f>
        <v>0.52186619350798447</v>
      </c>
      <c r="F91" s="85">
        <v>0.39600000000000002</v>
      </c>
      <c r="G91" s="87">
        <f>IF(ISBLANK(F91),"-",$D$101/$F$98*F91)</f>
        <v>0.50419364015107859</v>
      </c>
      <c r="I91" s="88"/>
    </row>
    <row r="92" spans="1:12" ht="26.25" customHeight="1" x14ac:dyDescent="0.4">
      <c r="A92" s="77" t="s">
        <v>64</v>
      </c>
      <c r="B92" s="78">
        <v>1</v>
      </c>
      <c r="C92" s="107">
        <v>2</v>
      </c>
      <c r="D92" s="90">
        <v>0.434</v>
      </c>
      <c r="E92" s="91">
        <f>IF(ISBLANK(D92),"-",$D$101/$D$98*D92)</f>
        <v>0.50668887691826681</v>
      </c>
      <c r="F92" s="90">
        <v>0.39700000000000002</v>
      </c>
      <c r="G92" s="92">
        <f>IF(ISBLANK(F92),"-",$D$101/$F$98*F92)</f>
        <v>0.5054668564140864</v>
      </c>
      <c r="I92" s="211">
        <f>ABS((F96/D96*D95)-F95)/D95</f>
        <v>1.1942844389652939E-2</v>
      </c>
    </row>
    <row r="93" spans="1:12" ht="26.25" customHeight="1" x14ac:dyDescent="0.4">
      <c r="A93" s="77" t="s">
        <v>65</v>
      </c>
      <c r="B93" s="78">
        <v>1</v>
      </c>
      <c r="C93" s="107">
        <v>3</v>
      </c>
      <c r="D93" s="90">
        <v>0.435</v>
      </c>
      <c r="E93" s="91">
        <f>IF(ISBLANK(D93),"-",$D$101/$D$98*D93)</f>
        <v>0.50785636280978363</v>
      </c>
      <c r="F93" s="90">
        <v>0.39800000000000002</v>
      </c>
      <c r="G93" s="92">
        <f>IF(ISBLANK(F93),"-",$D$101/$F$98*F93)</f>
        <v>0.50674007267709409</v>
      </c>
      <c r="I93" s="211"/>
    </row>
    <row r="94" spans="1:12" ht="27" customHeight="1" thickBot="1" x14ac:dyDescent="0.45">
      <c r="A94" s="77" t="s">
        <v>66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67</v>
      </c>
      <c r="B95" s="78">
        <v>1</v>
      </c>
      <c r="C95" s="61" t="s">
        <v>68</v>
      </c>
      <c r="D95" s="161">
        <f>AVERAGE(D91:D94)</f>
        <v>0.4386666666666667</v>
      </c>
      <c r="E95" s="100">
        <f>AVERAGE(E91:E94)</f>
        <v>0.51213714441201164</v>
      </c>
      <c r="F95" s="162">
        <f>AVERAGE(F91:F94)</f>
        <v>0.39700000000000002</v>
      </c>
      <c r="G95" s="163">
        <f>AVERAGE(G91:G94)</f>
        <v>0.5054668564140864</v>
      </c>
    </row>
    <row r="96" spans="1:12" ht="26.25" customHeight="1" x14ac:dyDescent="0.4">
      <c r="A96" s="77" t="s">
        <v>69</v>
      </c>
      <c r="B96" s="62">
        <v>1</v>
      </c>
      <c r="C96" s="164" t="s">
        <v>110</v>
      </c>
      <c r="D96" s="165">
        <v>11.44</v>
      </c>
      <c r="E96" s="49"/>
      <c r="F96" s="104">
        <v>10.49</v>
      </c>
    </row>
    <row r="97" spans="1:10" ht="26.25" customHeight="1" x14ac:dyDescent="0.4">
      <c r="A97" s="77" t="s">
        <v>71</v>
      </c>
      <c r="B97" s="62">
        <v>1</v>
      </c>
      <c r="C97" s="166" t="s">
        <v>111</v>
      </c>
      <c r="D97" s="167">
        <f>D96*$B$87</f>
        <v>11.44</v>
      </c>
      <c r="E97" s="107"/>
      <c r="F97" s="106">
        <f>F96*$B$87</f>
        <v>10.49</v>
      </c>
    </row>
    <row r="98" spans="1:10" ht="19.5" customHeight="1" thickBot="1" x14ac:dyDescent="0.35">
      <c r="A98" s="77" t="s">
        <v>73</v>
      </c>
      <c r="B98" s="107">
        <f>(B97/B96)*(B95/B94)*(B93/B92)*(B91/B90)*B89</f>
        <v>1000</v>
      </c>
      <c r="C98" s="166" t="s">
        <v>112</v>
      </c>
      <c r="D98" s="168">
        <f>D97*$B$83/100</f>
        <v>11.420552000000001</v>
      </c>
      <c r="E98" s="109"/>
      <c r="F98" s="108">
        <f>F97*$B$83/100</f>
        <v>10.472166999999999</v>
      </c>
    </row>
    <row r="99" spans="1:10" ht="19.5" customHeight="1" thickBot="1" x14ac:dyDescent="0.35">
      <c r="A99" s="212" t="s">
        <v>75</v>
      </c>
      <c r="B99" s="213"/>
      <c r="C99" s="166" t="s">
        <v>113</v>
      </c>
      <c r="D99" s="169">
        <f>D98/$B$98</f>
        <v>1.1420552E-2</v>
      </c>
      <c r="E99" s="109"/>
      <c r="F99" s="112">
        <f>F98/$B$98</f>
        <v>1.0472166999999999E-2</v>
      </c>
      <c r="H99" s="102"/>
    </row>
    <row r="100" spans="1:10" ht="19.5" customHeight="1" thickBot="1" x14ac:dyDescent="0.35">
      <c r="A100" s="214"/>
      <c r="B100" s="215"/>
      <c r="C100" s="166" t="s">
        <v>77</v>
      </c>
      <c r="D100" s="170">
        <f>$B$56/$B$116</f>
        <v>1.3333333333333332E-2</v>
      </c>
      <c r="F100" s="117"/>
      <c r="G100" s="171"/>
      <c r="H100" s="102"/>
    </row>
    <row r="101" spans="1:10" ht="18.75" x14ac:dyDescent="0.3">
      <c r="C101" s="166" t="s">
        <v>78</v>
      </c>
      <c r="D101" s="167">
        <f>D100*$B$98</f>
        <v>13.333333333333332</v>
      </c>
      <c r="F101" s="117"/>
      <c r="H101" s="102"/>
    </row>
    <row r="102" spans="1:10" ht="19.5" customHeight="1" thickBot="1" x14ac:dyDescent="0.35">
      <c r="C102" s="172" t="s">
        <v>79</v>
      </c>
      <c r="D102" s="173">
        <f>D101/B34</f>
        <v>13.333333333333332</v>
      </c>
      <c r="F102" s="121"/>
      <c r="H102" s="102"/>
      <c r="J102" s="174"/>
    </row>
    <row r="103" spans="1:10" ht="18.75" x14ac:dyDescent="0.3">
      <c r="C103" s="175" t="s">
        <v>114</v>
      </c>
      <c r="D103" s="176">
        <f>AVERAGE(E91:E94,G91:G94)</f>
        <v>0.50880200041304902</v>
      </c>
      <c r="F103" s="121"/>
      <c r="G103" s="171"/>
      <c r="H103" s="102"/>
      <c r="J103" s="177"/>
    </row>
    <row r="104" spans="1:10" ht="18.75" x14ac:dyDescent="0.3">
      <c r="C104" s="149" t="s">
        <v>81</v>
      </c>
      <c r="D104" s="178">
        <f>STDEV(E91:E94,G91:G94)/D103</f>
        <v>1.2817199396324879E-2</v>
      </c>
      <c r="F104" s="121"/>
      <c r="H104" s="102"/>
      <c r="J104" s="177"/>
    </row>
    <row r="105" spans="1:10" ht="19.5" customHeight="1" thickBot="1" x14ac:dyDescent="0.35">
      <c r="C105" s="151" t="s">
        <v>20</v>
      </c>
      <c r="D105" s="179">
        <f>COUNT(E91:E94,G91:G94)</f>
        <v>6</v>
      </c>
      <c r="F105" s="121"/>
      <c r="H105" s="102"/>
      <c r="J105" s="177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115</v>
      </c>
      <c r="B107" s="76">
        <v>900</v>
      </c>
      <c r="C107" s="131" t="s">
        <v>116</v>
      </c>
      <c r="D107" s="131" t="s">
        <v>60</v>
      </c>
      <c r="E107" s="131" t="s">
        <v>117</v>
      </c>
      <c r="F107" s="180" t="s">
        <v>118</v>
      </c>
    </row>
    <row r="108" spans="1:10" ht="26.25" customHeight="1" x14ac:dyDescent="0.4">
      <c r="A108" s="77" t="s">
        <v>119</v>
      </c>
      <c r="B108" s="78">
        <v>3</v>
      </c>
      <c r="C108" s="132">
        <v>1</v>
      </c>
      <c r="D108" s="260">
        <v>0.47199999999999998</v>
      </c>
      <c r="E108" s="181">
        <f t="shared" ref="E108:E113" si="1">IF(ISBLANK(D108),"-",D108/$D$103*$D$100*$B$116)</f>
        <v>371.06772348915854</v>
      </c>
      <c r="F108" s="182">
        <f t="shared" ref="F108:F113" si="2">IF(ISBLANK(D108), "-", (E108/$B$56)*100)</f>
        <v>92.766930872289635</v>
      </c>
    </row>
    <row r="109" spans="1:10" ht="26.25" customHeight="1" x14ac:dyDescent="0.4">
      <c r="A109" s="77" t="s">
        <v>92</v>
      </c>
      <c r="B109" s="78">
        <v>100</v>
      </c>
      <c r="C109" s="136">
        <v>2</v>
      </c>
      <c r="D109" s="261">
        <v>0.47099999999999997</v>
      </c>
      <c r="E109" s="183">
        <f t="shared" si="1"/>
        <v>370.28156305803748</v>
      </c>
      <c r="F109" s="184">
        <f t="shared" si="2"/>
        <v>92.570390764509369</v>
      </c>
    </row>
    <row r="110" spans="1:10" ht="26.25" customHeight="1" x14ac:dyDescent="0.4">
      <c r="A110" s="77" t="s">
        <v>93</v>
      </c>
      <c r="B110" s="78">
        <v>1</v>
      </c>
      <c r="C110" s="136">
        <v>3</v>
      </c>
      <c r="D110" s="261">
        <v>0.46800000000000003</v>
      </c>
      <c r="E110" s="183">
        <f t="shared" si="1"/>
        <v>367.92308176467412</v>
      </c>
      <c r="F110" s="184">
        <f t="shared" si="2"/>
        <v>91.980770441168531</v>
      </c>
    </row>
    <row r="111" spans="1:10" ht="26.25" customHeight="1" x14ac:dyDescent="0.4">
      <c r="A111" s="77" t="s">
        <v>94</v>
      </c>
      <c r="B111" s="78">
        <v>1</v>
      </c>
      <c r="C111" s="136">
        <v>4</v>
      </c>
      <c r="D111" s="261">
        <v>0.46600000000000003</v>
      </c>
      <c r="E111" s="183">
        <f t="shared" si="1"/>
        <v>366.35076090243194</v>
      </c>
      <c r="F111" s="184">
        <f t="shared" si="2"/>
        <v>91.587690225607986</v>
      </c>
    </row>
    <row r="112" spans="1:10" ht="26.25" customHeight="1" x14ac:dyDescent="0.4">
      <c r="A112" s="77" t="s">
        <v>95</v>
      </c>
      <c r="B112" s="78">
        <v>1</v>
      </c>
      <c r="C112" s="136">
        <v>5</v>
      </c>
      <c r="D112" s="261">
        <v>0.46500000000000002</v>
      </c>
      <c r="E112" s="183">
        <f t="shared" si="1"/>
        <v>365.56460047131088</v>
      </c>
      <c r="F112" s="184">
        <f t="shared" si="2"/>
        <v>91.391150117827721</v>
      </c>
    </row>
    <row r="113" spans="1:10" ht="27" customHeight="1" thickBot="1" x14ac:dyDescent="0.45">
      <c r="A113" s="77" t="s">
        <v>97</v>
      </c>
      <c r="B113" s="78">
        <v>1</v>
      </c>
      <c r="C113" s="140">
        <v>6</v>
      </c>
      <c r="D113" s="262">
        <v>0.46200000000000002</v>
      </c>
      <c r="E113" s="185">
        <f t="shared" si="1"/>
        <v>363.20611917794758</v>
      </c>
      <c r="F113" s="186">
        <f t="shared" si="2"/>
        <v>90.801529794486896</v>
      </c>
    </row>
    <row r="114" spans="1:10" ht="27" customHeight="1" thickBot="1" x14ac:dyDescent="0.45">
      <c r="A114" s="77" t="s">
        <v>98</v>
      </c>
      <c r="B114" s="78">
        <v>1</v>
      </c>
      <c r="C114" s="187"/>
      <c r="D114" s="107"/>
      <c r="E114" s="49"/>
      <c r="F114" s="184"/>
    </row>
    <row r="115" spans="1:10" ht="26.25" customHeight="1" x14ac:dyDescent="0.4">
      <c r="A115" s="77" t="s">
        <v>99</v>
      </c>
      <c r="B115" s="78">
        <v>1</v>
      </c>
      <c r="C115" s="187"/>
      <c r="D115" s="188" t="s">
        <v>68</v>
      </c>
      <c r="E115" s="189">
        <f>AVERAGE(E108:E113)</f>
        <v>367.39897481059342</v>
      </c>
      <c r="F115" s="190">
        <f>AVERAGE(F108:F113)</f>
        <v>91.849743702648354</v>
      </c>
    </row>
    <row r="116" spans="1:10" ht="27" customHeight="1" thickBot="1" x14ac:dyDescent="0.45">
      <c r="A116" s="77" t="s">
        <v>100</v>
      </c>
      <c r="B116" s="89">
        <f>(B115/B114)*(B113/B112)*(B111/B110)*(B109/B108)*B107</f>
        <v>30000.000000000004</v>
      </c>
      <c r="C116" s="191"/>
      <c r="D116" s="192" t="s">
        <v>81</v>
      </c>
      <c r="E116" s="150">
        <f>STDEV(E108:E113)/E115</f>
        <v>8.0822912834323888E-3</v>
      </c>
      <c r="F116" s="193">
        <f>STDEV(F108:F113)/F115</f>
        <v>8.0822912834323888E-3</v>
      </c>
      <c r="I116" s="49"/>
    </row>
    <row r="117" spans="1:10" ht="27" customHeight="1" thickBot="1" x14ac:dyDescent="0.45">
      <c r="A117" s="212" t="s">
        <v>75</v>
      </c>
      <c r="B117" s="216"/>
      <c r="C117" s="194"/>
      <c r="D117" s="151" t="s">
        <v>20</v>
      </c>
      <c r="E117" s="195">
        <f>COUNT(E108:E113)</f>
        <v>6</v>
      </c>
      <c r="F117" s="196">
        <f>COUNT(F108:F113)</f>
        <v>6</v>
      </c>
      <c r="I117" s="49"/>
      <c r="J117" s="177"/>
    </row>
    <row r="118" spans="1:10" ht="26.25" customHeight="1" thickBot="1" x14ac:dyDescent="0.35">
      <c r="A118" s="214"/>
      <c r="B118" s="217"/>
      <c r="C118" s="49"/>
      <c r="D118" s="197"/>
      <c r="E118" s="218" t="s">
        <v>120</v>
      </c>
      <c r="F118" s="219"/>
      <c r="G118" s="49"/>
      <c r="H118" s="49"/>
      <c r="I118" s="49"/>
    </row>
    <row r="119" spans="1:10" ht="25.5" customHeight="1" x14ac:dyDescent="0.4">
      <c r="A119" s="198"/>
      <c r="B119" s="73"/>
      <c r="C119" s="49"/>
      <c r="D119" s="192" t="s">
        <v>121</v>
      </c>
      <c r="E119" s="199">
        <f>MIN(E108:E113)</f>
        <v>363.20611917794758</v>
      </c>
      <c r="F119" s="200">
        <f>MIN(F108:F113)</f>
        <v>90.801529794486896</v>
      </c>
      <c r="G119" s="49"/>
      <c r="H119" s="49"/>
      <c r="I119" s="49"/>
    </row>
    <row r="120" spans="1:10" ht="24" customHeight="1" thickBot="1" x14ac:dyDescent="0.45">
      <c r="A120" s="198"/>
      <c r="B120" s="73"/>
      <c r="C120" s="49"/>
      <c r="D120" s="118" t="s">
        <v>122</v>
      </c>
      <c r="E120" s="201">
        <f>MAX(E108:E113)</f>
        <v>371.06772348915854</v>
      </c>
      <c r="F120" s="202">
        <f>MAX(F108:F113)</f>
        <v>92.766930872289635</v>
      </c>
      <c r="G120" s="49"/>
      <c r="H120" s="49"/>
      <c r="I120" s="49"/>
    </row>
    <row r="121" spans="1:10" ht="27" customHeight="1" x14ac:dyDescent="0.3">
      <c r="A121" s="198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198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198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103</v>
      </c>
      <c r="B124" s="61" t="s">
        <v>123</v>
      </c>
      <c r="C124" s="220" t="str">
        <f>B26</f>
        <v>Metronidazole</v>
      </c>
      <c r="D124" s="220"/>
      <c r="E124" s="49" t="s">
        <v>124</v>
      </c>
      <c r="F124" s="49"/>
      <c r="G124" s="203">
        <f>F115</f>
        <v>91.849743702648354</v>
      </c>
      <c r="H124" s="49"/>
      <c r="I124" s="49"/>
    </row>
    <row r="125" spans="1:10" ht="45.75" customHeight="1" x14ac:dyDescent="0.65">
      <c r="A125" s="60"/>
      <c r="B125" s="61" t="s">
        <v>125</v>
      </c>
      <c r="C125" s="61" t="s">
        <v>126</v>
      </c>
      <c r="D125" s="203">
        <f>MIN(F108:F113)</f>
        <v>90.801529794486896</v>
      </c>
      <c r="E125" s="61" t="s">
        <v>127</v>
      </c>
      <c r="F125" s="203">
        <f>MAX(F108:F113)</f>
        <v>92.766930872289635</v>
      </c>
      <c r="G125" s="204"/>
      <c r="H125" s="49"/>
      <c r="I125" s="49"/>
    </row>
    <row r="126" spans="1:10" ht="19.5" customHeight="1" thickBot="1" x14ac:dyDescent="0.35">
      <c r="A126" s="205"/>
      <c r="B126" s="205"/>
      <c r="C126" s="206"/>
      <c r="D126" s="206"/>
      <c r="E126" s="206"/>
      <c r="F126" s="206"/>
      <c r="G126" s="206"/>
      <c r="H126" s="206"/>
    </row>
    <row r="127" spans="1:10" ht="18.75" x14ac:dyDescent="0.3">
      <c r="B127" s="221" t="s">
        <v>23</v>
      </c>
      <c r="C127" s="221"/>
      <c r="E127" s="156" t="s">
        <v>24</v>
      </c>
      <c r="F127" s="207"/>
      <c r="G127" s="221" t="s">
        <v>25</v>
      </c>
      <c r="H127" s="221"/>
    </row>
    <row r="128" spans="1:10" ht="69.95" customHeight="1" x14ac:dyDescent="0.3">
      <c r="A128" s="60" t="s">
        <v>26</v>
      </c>
      <c r="B128" s="208"/>
      <c r="C128" s="208"/>
      <c r="E128" s="208"/>
      <c r="F128" s="49"/>
      <c r="G128" s="208"/>
      <c r="H128" s="208"/>
    </row>
    <row r="129" spans="1:9" ht="69.95" customHeight="1" x14ac:dyDescent="0.3">
      <c r="A129" s="60" t="s">
        <v>27</v>
      </c>
      <c r="B129" s="209"/>
      <c r="C129" s="209"/>
      <c r="E129" s="209"/>
      <c r="F129" s="49"/>
      <c r="G129" s="210"/>
      <c r="H129" s="210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1" workbookViewId="0">
      <selection activeCell="C53" sqref="C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55" t="s">
        <v>28</v>
      </c>
      <c r="B11" s="256"/>
      <c r="C11" s="256"/>
      <c r="D11" s="256"/>
      <c r="E11" s="256"/>
      <c r="F11" s="257"/>
      <c r="G11" s="41"/>
    </row>
    <row r="12" spans="1:7" ht="16.5" customHeight="1" x14ac:dyDescent="0.3">
      <c r="A12" s="254" t="s">
        <v>29</v>
      </c>
      <c r="B12" s="254"/>
      <c r="C12" s="254"/>
      <c r="D12" s="254"/>
      <c r="E12" s="254"/>
      <c r="F12" s="254"/>
      <c r="G12" s="40"/>
    </row>
    <row r="14" spans="1:7" ht="16.5" customHeight="1" x14ac:dyDescent="0.3">
      <c r="A14" s="259" t="s">
        <v>30</v>
      </c>
      <c r="B14" s="259"/>
      <c r="C14" s="10" t="s">
        <v>5</v>
      </c>
    </row>
    <row r="15" spans="1:7" ht="16.5" customHeight="1" x14ac:dyDescent="0.3">
      <c r="A15" s="259" t="s">
        <v>31</v>
      </c>
      <c r="B15" s="259"/>
      <c r="C15" s="10" t="s">
        <v>7</v>
      </c>
    </row>
    <row r="16" spans="1:7" ht="16.5" customHeight="1" x14ac:dyDescent="0.3">
      <c r="A16" s="259" t="s">
        <v>32</v>
      </c>
      <c r="B16" s="259"/>
      <c r="C16" s="10" t="s">
        <v>9</v>
      </c>
    </row>
    <row r="17" spans="1:5" ht="16.5" customHeight="1" x14ac:dyDescent="0.3">
      <c r="A17" s="259" t="s">
        <v>33</v>
      </c>
      <c r="B17" s="259"/>
      <c r="C17" s="10" t="s">
        <v>11</v>
      </c>
    </row>
    <row r="18" spans="1:5" ht="16.5" customHeight="1" x14ac:dyDescent="0.3">
      <c r="A18" s="259" t="s">
        <v>34</v>
      </c>
      <c r="B18" s="259"/>
      <c r="C18" s="47" t="s">
        <v>12</v>
      </c>
    </row>
    <row r="19" spans="1:5" ht="16.5" customHeight="1" x14ac:dyDescent="0.3">
      <c r="A19" s="259" t="s">
        <v>35</v>
      </c>
      <c r="B19" s="25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54" t="s">
        <v>1</v>
      </c>
      <c r="B21" s="254"/>
      <c r="C21" s="9" t="s">
        <v>36</v>
      </c>
      <c r="D21" s="16"/>
    </row>
    <row r="22" spans="1:5" ht="15.75" customHeight="1" x14ac:dyDescent="0.3">
      <c r="A22" s="258"/>
      <c r="B22" s="258"/>
      <c r="C22" s="7"/>
      <c r="D22" s="258"/>
      <c r="E22" s="258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518.74</v>
      </c>
      <c r="D24" s="37">
        <f t="shared" ref="D24:D43" si="0">(C24-$C$46)/$C$46</f>
        <v>1.2497768255669334E-3</v>
      </c>
      <c r="E24" s="3"/>
    </row>
    <row r="25" spans="1:5" ht="15.75" customHeight="1" x14ac:dyDescent="0.3">
      <c r="C25" s="45">
        <v>526.45000000000005</v>
      </c>
      <c r="D25" s="38">
        <f t="shared" si="0"/>
        <v>1.6131289296795599E-2</v>
      </c>
      <c r="E25" s="3"/>
    </row>
    <row r="26" spans="1:5" ht="15.75" customHeight="1" x14ac:dyDescent="0.3">
      <c r="C26" s="45">
        <v>508.5</v>
      </c>
      <c r="D26" s="38">
        <f t="shared" si="0"/>
        <v>-1.8515033512355367E-2</v>
      </c>
      <c r="E26" s="3"/>
    </row>
    <row r="27" spans="1:5" ht="15.75" customHeight="1" x14ac:dyDescent="0.3">
      <c r="C27" s="45">
        <v>520.28</v>
      </c>
      <c r="D27" s="38">
        <f t="shared" si="0"/>
        <v>4.2222190052934568E-3</v>
      </c>
      <c r="E27" s="3"/>
    </row>
    <row r="28" spans="1:5" ht="15.75" customHeight="1" x14ac:dyDescent="0.3">
      <c r="C28" s="45">
        <v>516.48</v>
      </c>
      <c r="D28" s="38">
        <f t="shared" si="0"/>
        <v>-3.1123785810448028E-3</v>
      </c>
      <c r="E28" s="3"/>
    </row>
    <row r="29" spans="1:5" ht="15.75" customHeight="1" x14ac:dyDescent="0.3">
      <c r="C29" s="45">
        <v>517.13</v>
      </c>
      <c r="D29" s="38">
        <f t="shared" si="0"/>
        <v>-1.8577763623290769E-3</v>
      </c>
      <c r="E29" s="3"/>
    </row>
    <row r="30" spans="1:5" ht="15.75" customHeight="1" x14ac:dyDescent="0.3">
      <c r="C30" s="45">
        <v>520.82000000000005</v>
      </c>
      <c r="D30" s="38">
        <f t="shared" si="0"/>
        <v>5.2645039254574765E-3</v>
      </c>
      <c r="E30" s="3"/>
    </row>
    <row r="31" spans="1:5" ht="15.75" customHeight="1" x14ac:dyDescent="0.3">
      <c r="C31" s="45">
        <v>517.61</v>
      </c>
      <c r="D31" s="38">
        <f t="shared" si="0"/>
        <v>-9.3130087773893484E-4</v>
      </c>
      <c r="E31" s="3"/>
    </row>
    <row r="32" spans="1:5" ht="15.75" customHeight="1" x14ac:dyDescent="0.3">
      <c r="C32" s="45">
        <v>520.23</v>
      </c>
      <c r="D32" s="38">
        <f t="shared" si="0"/>
        <v>4.1257111423154084E-3</v>
      </c>
      <c r="E32" s="3"/>
    </row>
    <row r="33" spans="1:7" ht="15.75" customHeight="1" x14ac:dyDescent="0.3">
      <c r="C33" s="45">
        <v>509.61</v>
      </c>
      <c r="D33" s="38">
        <f t="shared" si="0"/>
        <v>-1.637255895424072E-2</v>
      </c>
      <c r="E33" s="3"/>
    </row>
    <row r="34" spans="1:7" ht="15.75" customHeight="1" x14ac:dyDescent="0.3">
      <c r="C34" s="45">
        <v>526.96</v>
      </c>
      <c r="D34" s="38">
        <f t="shared" si="0"/>
        <v>1.7115669499172568E-2</v>
      </c>
      <c r="E34" s="3"/>
    </row>
    <row r="35" spans="1:7" ht="15.75" customHeight="1" x14ac:dyDescent="0.3">
      <c r="C35" s="45">
        <v>521.72</v>
      </c>
      <c r="D35" s="38">
        <f t="shared" si="0"/>
        <v>7.0016454590638832E-3</v>
      </c>
      <c r="E35" s="3"/>
    </row>
    <row r="36" spans="1:7" ht="15.75" customHeight="1" x14ac:dyDescent="0.3">
      <c r="C36" s="45">
        <v>512.08000000000004</v>
      </c>
      <c r="D36" s="38">
        <f t="shared" si="0"/>
        <v>-1.160507052312074E-2</v>
      </c>
      <c r="E36" s="3"/>
    </row>
    <row r="37" spans="1:7" ht="15.75" customHeight="1" x14ac:dyDescent="0.3">
      <c r="C37" s="45">
        <v>516.59</v>
      </c>
      <c r="D37" s="38">
        <f t="shared" si="0"/>
        <v>-2.900061282492877E-3</v>
      </c>
      <c r="E37" s="3"/>
    </row>
    <row r="38" spans="1:7" ht="15.75" customHeight="1" x14ac:dyDescent="0.3">
      <c r="C38" s="45">
        <v>511.64</v>
      </c>
      <c r="D38" s="38">
        <f t="shared" si="0"/>
        <v>-1.2454339717328443E-2</v>
      </c>
      <c r="E38" s="3"/>
    </row>
    <row r="39" spans="1:7" ht="15.75" customHeight="1" x14ac:dyDescent="0.3">
      <c r="C39" s="45">
        <v>526.83000000000004</v>
      </c>
      <c r="D39" s="38">
        <f t="shared" si="0"/>
        <v>1.6864749055429423E-2</v>
      </c>
      <c r="E39" s="3"/>
    </row>
    <row r="40" spans="1:7" ht="15.75" customHeight="1" x14ac:dyDescent="0.3">
      <c r="C40" s="45">
        <v>518.65</v>
      </c>
      <c r="D40" s="38">
        <f t="shared" si="0"/>
        <v>1.0760626722062269E-3</v>
      </c>
      <c r="E40" s="3"/>
    </row>
    <row r="41" spans="1:7" ht="15.75" customHeight="1" x14ac:dyDescent="0.3">
      <c r="C41" s="45">
        <v>513</v>
      </c>
      <c r="D41" s="38">
        <f t="shared" si="0"/>
        <v>-9.8293258443231148E-3</v>
      </c>
      <c r="E41" s="3"/>
    </row>
    <row r="42" spans="1:7" ht="15.75" customHeight="1" x14ac:dyDescent="0.3">
      <c r="C42" s="45">
        <v>520.41</v>
      </c>
      <c r="D42" s="38">
        <f t="shared" si="0"/>
        <v>4.4731394490366014E-3</v>
      </c>
      <c r="E42" s="3"/>
    </row>
    <row r="43" spans="1:7" ht="16.5" customHeight="1" x14ac:dyDescent="0.3">
      <c r="C43" s="46">
        <v>518.12</v>
      </c>
      <c r="D43" s="39">
        <f t="shared" si="0"/>
        <v>5.307932463803632E-5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10361.85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518.09249999999997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252">
        <f>C46</f>
        <v>518.09249999999997</v>
      </c>
      <c r="C49" s="43">
        <f>-IF(C46&lt;=80,10%,IF(C46&lt;250,7.5%,5%))</f>
        <v>-0.05</v>
      </c>
      <c r="D49" s="31">
        <f>IF(C46&lt;=80,C46*0.9,IF(C46&lt;250,C46*0.925,C46*0.95))</f>
        <v>492.18787499999996</v>
      </c>
    </row>
    <row r="50" spans="1:6" ht="17.25" customHeight="1" x14ac:dyDescent="0.3">
      <c r="B50" s="253"/>
      <c r="C50" s="44">
        <f>IF(C46&lt;=80, 10%, IF(C46&lt;250, 7.5%, 5%))</f>
        <v>0.05</v>
      </c>
      <c r="D50" s="31">
        <f>IF(C46&lt;=80, C46*1.1, IF(C46&lt;250, C46*1.075, C46*1.05))</f>
        <v>543.99712499999998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Metronidazole (2)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2017-06-28T11:16:46Z</cp:lastPrinted>
  <dcterms:created xsi:type="dcterms:W3CDTF">2005-07-05T10:19:27Z</dcterms:created>
  <dcterms:modified xsi:type="dcterms:W3CDTF">2017-06-28T11:18:53Z</dcterms:modified>
</cp:coreProperties>
</file>