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July 2017\"/>
    </mc:Choice>
  </mc:AlternateContent>
  <bookViews>
    <workbookView xWindow="0" yWindow="0" windowWidth="20460" windowHeight="7620" activeTab="2"/>
  </bookViews>
  <sheets>
    <sheet name="SST" sheetId="1" r:id="rId1"/>
    <sheet name="Uniformity" sheetId="2" r:id="rId2"/>
    <sheet name="RITONAVIR" sheetId="3" r:id="rId3"/>
  </sheets>
  <definedNames>
    <definedName name="_xlnm.Print_Area" localSheetId="2">RITONAVIR!$A$1:$I$130</definedName>
    <definedName name="_xlnm.Print_Area" localSheetId="0">SST!$A$15:$G$65</definedName>
    <definedName name="_xlnm.Print_Area" localSheetId="1">Uniformity!$A$12:$F$55</definedName>
  </definedNames>
  <calcPr calcId="162913"/>
</workbook>
</file>

<file path=xl/calcChain.xml><?xml version="1.0" encoding="utf-8"?>
<calcChain xmlns="http://schemas.openxmlformats.org/spreadsheetml/2006/main">
  <c r="B42" i="1" l="1"/>
  <c r="B21" i="1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F44" i="3" s="1"/>
  <c r="B30" i="3"/>
  <c r="D49" i="2"/>
  <c r="C49" i="2"/>
  <c r="C46" i="2"/>
  <c r="B57" i="3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50" i="2" l="1"/>
  <c r="D26" i="2"/>
  <c r="D30" i="2"/>
  <c r="D34" i="2"/>
  <c r="D38" i="2"/>
  <c r="D42" i="2"/>
  <c r="B49" i="2"/>
  <c r="D44" i="3"/>
  <c r="I92" i="3"/>
  <c r="D101" i="3"/>
  <c r="F97" i="3"/>
  <c r="D45" i="3"/>
  <c r="D46" i="3" s="1"/>
  <c r="F45" i="3"/>
  <c r="F46" i="3" s="1"/>
  <c r="D98" i="3"/>
  <c r="D99" i="3" s="1"/>
  <c r="F98" i="3"/>
  <c r="F99" i="3" s="1"/>
  <c r="B69" i="3"/>
  <c r="E41" i="3"/>
  <c r="G40" i="3"/>
  <c r="D49" i="3"/>
  <c r="G41" i="3"/>
  <c r="C50" i="2"/>
  <c r="E38" i="3" l="1"/>
  <c r="E39" i="3"/>
  <c r="E91" i="3"/>
  <c r="E40" i="3"/>
  <c r="E42" i="3" s="1"/>
  <c r="G93" i="3"/>
  <c r="E92" i="3"/>
  <c r="D102" i="3"/>
  <c r="G92" i="3"/>
  <c r="G91" i="3"/>
  <c r="G94" i="3"/>
  <c r="G38" i="3"/>
  <c r="G39" i="3"/>
  <c r="E93" i="3"/>
  <c r="E94" i="3"/>
  <c r="D103" i="3" l="1"/>
  <c r="E111" i="3" s="1"/>
  <c r="F111" i="3" s="1"/>
  <c r="G95" i="3"/>
  <c r="D105" i="3"/>
  <c r="E95" i="3"/>
  <c r="D52" i="3"/>
  <c r="D50" i="3"/>
  <c r="G67" i="3" s="1"/>
  <c r="H67" i="3" s="1"/>
  <c r="G42" i="3"/>
  <c r="E113" i="3"/>
  <c r="F113" i="3" s="1"/>
  <c r="E110" i="3" l="1"/>
  <c r="F110" i="3" s="1"/>
  <c r="D104" i="3"/>
  <c r="E108" i="3"/>
  <c r="E109" i="3"/>
  <c r="F109" i="3" s="1"/>
  <c r="E112" i="3"/>
  <c r="F112" i="3" s="1"/>
  <c r="G71" i="3"/>
  <c r="H71" i="3" s="1"/>
  <c r="G61" i="3"/>
  <c r="H61" i="3" s="1"/>
  <c r="G60" i="3"/>
  <c r="H60" i="3" s="1"/>
  <c r="G70" i="3"/>
  <c r="H70" i="3" s="1"/>
  <c r="G66" i="3"/>
  <c r="H66" i="3" s="1"/>
  <c r="D51" i="3"/>
  <c r="G62" i="3"/>
  <c r="H62" i="3" s="1"/>
  <c r="G63" i="3"/>
  <c r="H63" i="3" s="1"/>
  <c r="G69" i="3"/>
  <c r="H69" i="3" s="1"/>
  <c r="G65" i="3"/>
  <c r="H65" i="3" s="1"/>
  <c r="G64" i="3"/>
  <c r="H64" i="3" s="1"/>
  <c r="G68" i="3"/>
  <c r="H68" i="3" s="1"/>
  <c r="E120" i="3" l="1"/>
  <c r="E117" i="3"/>
  <c r="E115" i="3"/>
  <c r="E116" i="3" s="1"/>
  <c r="F108" i="3"/>
  <c r="F125" i="3" s="1"/>
  <c r="E119" i="3"/>
  <c r="G72" i="3"/>
  <c r="G73" i="3" s="1"/>
  <c r="G74" i="3"/>
  <c r="H74" i="3"/>
  <c r="H72" i="3"/>
  <c r="D125" i="3"/>
  <c r="F117" i="3" l="1"/>
  <c r="F120" i="3"/>
  <c r="F119" i="3"/>
  <c r="F115" i="3"/>
  <c r="G124" i="3" s="1"/>
  <c r="H73" i="3"/>
  <c r="G76" i="3"/>
  <c r="F116" i="3" l="1"/>
</calcChain>
</file>

<file path=xl/sharedStrings.xml><?xml version="1.0" encoding="utf-8"?>
<sst xmlns="http://schemas.openxmlformats.org/spreadsheetml/2006/main" count="238" uniqueCount="134">
  <si>
    <t>HPLC System Suitability Report</t>
  </si>
  <si>
    <t>Analysis Data</t>
  </si>
  <si>
    <t>Assay</t>
  </si>
  <si>
    <t>Sample(s)</t>
  </si>
  <si>
    <t>Reference Substance:</t>
  </si>
  <si>
    <t>NORVIR 100 MG</t>
  </si>
  <si>
    <t>% age Purity:</t>
  </si>
  <si>
    <t>NDQB201706439</t>
  </si>
  <si>
    <t>Weight (mg):</t>
  </si>
  <si>
    <t>Ritonavir 100 mg</t>
  </si>
  <si>
    <t>Standard Conc (mg/mL):</t>
  </si>
  <si>
    <t>each film coated tablets contains 100 mg ritonavir</t>
  </si>
  <si>
    <t>2017-06-21 11:44:42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</si>
  <si>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</si>
  <si>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</si>
  <si>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</si>
  <si>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</si>
  <si>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</si>
  <si>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</si>
  <si>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</si>
  <si>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</si>
  <si>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</si>
  <si>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</si>
  <si>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</si>
  <si>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</si>
  <si>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</si>
  <si>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</si>
  <si>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</si>
  <si>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</si>
  <si>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</si>
  <si>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</si>
  <si>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</si>
  <si>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</si>
  <si>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</si>
  <si>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</si>
  <si>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</si>
  <si>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</si>
  <si>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</si>
  <si>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</si>
  <si>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</si>
  <si>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</si>
  <si>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</si>
  <si>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</si>
  <si>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</si>
  <si>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</si>
  <si>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</si>
  <si>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</si>
  <si>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</si>
  <si>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</si>
  <si>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</si>
  <si>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</si>
  <si>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</si>
  <si>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</si>
  <si>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</si>
  <si>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</si>
  <si>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</si>
  <si>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</si>
  <si>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</si>
  <si>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</si>
  <si>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</si>
  <si>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</si>
  <si>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</si>
  <si>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</si>
  <si>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</si>
  <si>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</si>
  <si>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</si>
  <si>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</si>
  <si>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</si>
  <si>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</si>
  <si>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</si>
  <si>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</si>
  <si>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</si>
  <si>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</si>
  <si>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</si>
  <si>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</si>
  <si>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</si>
  <si>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</si>
  <si>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</si>
  <si>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</si>
  <si>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</si>
  <si>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</si>
  <si>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</si>
  <si>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</si>
  <si>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</si>
  <si>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</si>
  <si>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</si>
  <si>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</si>
  <si>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</si>
  <si>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</si>
  <si>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</si>
  <si>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</si>
  <si>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</si>
  <si>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</si>
  <si>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</si>
  <si>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</si>
  <si>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</si>
  <si>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</si>
  <si>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</si>
  <si>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</si>
  <si>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</si>
  <si>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</si>
  <si>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</si>
  <si>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</si>
  <si>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</si>
  <si>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</si>
  <si>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</si>
  <si>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</si>
  <si>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</si>
  <si>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</si>
  <si>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</si>
  <si>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</si>
  <si>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</si>
  <si>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</si>
  <si>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</si>
  <si>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</si>
  <si>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</si>
  <si>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</si>
  <si>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</si>
  <si>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</si>
  <si>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</si>
  <si>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</si>
  <si>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</si>
  <si>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</si>
  <si>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</si>
  <si>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</si>
  <si>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</si>
  <si>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</si>
  <si>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</si>
  <si>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</si>
  <si>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</si>
  <si>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</si>
  <si>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Ritonavir </t>
  </si>
  <si>
    <t>Ritonavir</t>
  </si>
  <si>
    <t>R14-2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</si>
</sst>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4" fontId="6" fillId="2" borderId="0" xfId="0" applyNumberFormat="1" applyFont="1" applyFill="1"/>
    <xf numFmtId="0" fontId="2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E50" sqref="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8" t="s">
        <v>0</v>
      </c>
      <c r="B15" s="288"/>
      <c r="C15" s="288"/>
      <c r="D15" s="288"/>
      <c r="E15" s="28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287"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20.03</v>
      </c>
      <c r="C20" s="10"/>
      <c r="D20" s="10"/>
      <c r="E20" s="10"/>
    </row>
    <row r="21" spans="1:6" ht="16.5" customHeight="1" x14ac:dyDescent="0.3">
      <c r="A21" s="7" t="s">
        <v>10</v>
      </c>
      <c r="B21" s="13">
        <f>20.03/100*5/10</f>
        <v>0.10015</v>
      </c>
      <c r="C21" s="10"/>
      <c r="D21" s="10"/>
      <c r="E21" s="10"/>
    </row>
    <row r="22" spans="1:6" ht="15.75" customHeight="1" x14ac:dyDescent="0.25">
      <c r="A22" s="10"/>
      <c r="B22" s="286">
        <v>42915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13416971</v>
      </c>
      <c r="C24" s="18">
        <v>4881.5</v>
      </c>
      <c r="D24" s="19">
        <v>0.9</v>
      </c>
      <c r="E24" s="20">
        <v>6.3</v>
      </c>
    </row>
    <row r="25" spans="1:6" ht="16.5" customHeight="1" x14ac:dyDescent="0.3">
      <c r="A25" s="17">
        <v>2</v>
      </c>
      <c r="B25" s="18">
        <v>13393486</v>
      </c>
      <c r="C25" s="18">
        <v>4870.8999999999996</v>
      </c>
      <c r="D25" s="19">
        <v>0.9</v>
      </c>
      <c r="E25" s="19">
        <v>6.3</v>
      </c>
    </row>
    <row r="26" spans="1:6" ht="16.5" customHeight="1" x14ac:dyDescent="0.3">
      <c r="A26" s="17">
        <v>3</v>
      </c>
      <c r="B26" s="18">
        <v>13357266</v>
      </c>
      <c r="C26" s="18">
        <v>4870.2</v>
      </c>
      <c r="D26" s="19">
        <v>0.9</v>
      </c>
      <c r="E26" s="19">
        <v>6.3</v>
      </c>
    </row>
    <row r="27" spans="1:6" ht="16.5" customHeight="1" x14ac:dyDescent="0.3">
      <c r="A27" s="17">
        <v>4</v>
      </c>
      <c r="B27" s="18">
        <v>13387531</v>
      </c>
      <c r="C27" s="18">
        <v>4881</v>
      </c>
      <c r="D27" s="19">
        <v>0.9</v>
      </c>
      <c r="E27" s="19">
        <v>6.3</v>
      </c>
    </row>
    <row r="28" spans="1:6" ht="16.5" customHeight="1" x14ac:dyDescent="0.3">
      <c r="A28" s="17">
        <v>5</v>
      </c>
      <c r="B28" s="18">
        <v>13432215</v>
      </c>
      <c r="C28" s="18">
        <v>4861.3999999999996</v>
      </c>
      <c r="D28" s="19">
        <v>0.9</v>
      </c>
      <c r="E28" s="19">
        <v>6.3</v>
      </c>
    </row>
    <row r="29" spans="1:6" ht="16.5" customHeight="1" x14ac:dyDescent="0.3">
      <c r="A29" s="17">
        <v>6</v>
      </c>
      <c r="B29" s="21">
        <v>13407311</v>
      </c>
      <c r="C29" s="21">
        <v>4841.7</v>
      </c>
      <c r="D29" s="22">
        <v>0.9</v>
      </c>
      <c r="E29" s="22">
        <v>6.3</v>
      </c>
    </row>
    <row r="30" spans="1:6" ht="16.5" customHeight="1" x14ac:dyDescent="0.3">
      <c r="A30" s="23" t="s">
        <v>18</v>
      </c>
      <c r="B30" s="24">
        <f>AVERAGE(B24:B29)</f>
        <v>13399130</v>
      </c>
      <c r="C30" s="25">
        <f>AVERAGE(C24:C29)</f>
        <v>4867.7833333333338</v>
      </c>
      <c r="D30" s="26">
        <f>AVERAGE(D24:D29)</f>
        <v>0.9</v>
      </c>
      <c r="E30" s="26">
        <f>AVERAGE(E24:E29)</f>
        <v>6.3</v>
      </c>
    </row>
    <row r="31" spans="1:6" ht="16.5" customHeight="1" x14ac:dyDescent="0.3">
      <c r="A31" s="27" t="s">
        <v>19</v>
      </c>
      <c r="B31" s="28">
        <f>(STDEV(B24:B29)/B30)</f>
        <v>1.9458229860195818E-3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5</v>
      </c>
      <c r="C39" s="10"/>
      <c r="D39" s="10"/>
      <c r="E39" s="10"/>
    </row>
    <row r="40" spans="1:6" ht="16.5" customHeight="1" x14ac:dyDescent="0.3">
      <c r="A40" s="11" t="s">
        <v>6</v>
      </c>
      <c r="B40" s="287">
        <v>99.4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20.03</v>
      </c>
      <c r="C41" s="10"/>
      <c r="D41" s="10"/>
      <c r="E41" s="10"/>
    </row>
    <row r="42" spans="1:6" ht="16.5" customHeight="1" x14ac:dyDescent="0.3">
      <c r="A42" s="7" t="s">
        <v>10</v>
      </c>
      <c r="B42" s="13">
        <f>20.03/100*5/10</f>
        <v>0.10015</v>
      </c>
      <c r="C42" s="10"/>
      <c r="D42" s="10"/>
      <c r="E42" s="10"/>
    </row>
    <row r="43" spans="1:6" ht="15.75" customHeight="1" x14ac:dyDescent="0.25">
      <c r="A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11195513</v>
      </c>
      <c r="C45" s="18">
        <v>4443.3</v>
      </c>
      <c r="D45" s="19">
        <v>0.9</v>
      </c>
      <c r="E45" s="20">
        <v>5.3</v>
      </c>
    </row>
    <row r="46" spans="1:6" ht="16.5" customHeight="1" x14ac:dyDescent="0.3">
      <c r="A46" s="17">
        <v>2</v>
      </c>
      <c r="B46" s="18">
        <v>11222384</v>
      </c>
      <c r="C46" s="18">
        <v>4446.8999999999996</v>
      </c>
      <c r="D46" s="19">
        <v>0.9</v>
      </c>
      <c r="E46" s="19">
        <v>5.3</v>
      </c>
    </row>
    <row r="47" spans="1:6" ht="16.5" customHeight="1" x14ac:dyDescent="0.3">
      <c r="A47" s="17">
        <v>3</v>
      </c>
      <c r="B47" s="18">
        <v>11193540</v>
      </c>
      <c r="C47" s="18">
        <v>4444.3999999999996</v>
      </c>
      <c r="D47" s="19">
        <v>0.9</v>
      </c>
      <c r="E47" s="19">
        <v>5.3</v>
      </c>
    </row>
    <row r="48" spans="1:6" ht="16.5" customHeight="1" x14ac:dyDescent="0.3">
      <c r="A48" s="17">
        <v>4</v>
      </c>
      <c r="B48" s="18">
        <v>11212077</v>
      </c>
      <c r="C48" s="18">
        <v>4439.5</v>
      </c>
      <c r="D48" s="19">
        <v>0.9</v>
      </c>
      <c r="E48" s="19">
        <v>5.3</v>
      </c>
    </row>
    <row r="49" spans="1:7" ht="16.5" customHeight="1" x14ac:dyDescent="0.3">
      <c r="A49" s="17">
        <v>5</v>
      </c>
      <c r="B49" s="18">
        <v>11307296</v>
      </c>
      <c r="C49" s="18">
        <v>4445.1000000000004</v>
      </c>
      <c r="D49" s="19">
        <v>0.9</v>
      </c>
      <c r="E49" s="19">
        <v>5.3</v>
      </c>
    </row>
    <row r="50" spans="1:7" ht="16.5" customHeight="1" x14ac:dyDescent="0.3">
      <c r="A50" s="17">
        <v>6</v>
      </c>
      <c r="B50" s="21">
        <v>11229520</v>
      </c>
      <c r="C50" s="21">
        <v>4431.3</v>
      </c>
      <c r="D50" s="22">
        <v>0.9</v>
      </c>
      <c r="E50" s="22">
        <v>5.3</v>
      </c>
    </row>
    <row r="51" spans="1:7" ht="16.5" customHeight="1" x14ac:dyDescent="0.3">
      <c r="A51" s="23" t="s">
        <v>18</v>
      </c>
      <c r="B51" s="24">
        <f>AVERAGE(B45:B50)</f>
        <v>11226721.666666666</v>
      </c>
      <c r="C51" s="25">
        <f>AVERAGE(C45:C50)</f>
        <v>4441.7499999999991</v>
      </c>
      <c r="D51" s="26">
        <f>AVERAGE(D45:D50)</f>
        <v>0.9</v>
      </c>
      <c r="E51" s="26">
        <f>AVERAGE(E45:E50)</f>
        <v>5.3</v>
      </c>
    </row>
    <row r="52" spans="1:7" ht="16.5" customHeight="1" x14ac:dyDescent="0.3">
      <c r="A52" s="27" t="s">
        <v>19</v>
      </c>
      <c r="B52" s="28">
        <f>(STDEV(B45:B50)/B51)</f>
        <v>3.7386005121877132E-3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9" t="s">
        <v>26</v>
      </c>
      <c r="C59" s="28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C43" sqref="C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3" t="s">
        <v>31</v>
      </c>
      <c r="B11" s="294"/>
      <c r="C11" s="294"/>
      <c r="D11" s="294"/>
      <c r="E11" s="294"/>
      <c r="F11" s="295"/>
      <c r="G11" s="91"/>
    </row>
    <row r="12" spans="1:7" ht="16.5" customHeight="1" x14ac:dyDescent="0.3">
      <c r="A12" s="292" t="s">
        <v>32</v>
      </c>
      <c r="B12" s="292"/>
      <c r="C12" s="292"/>
      <c r="D12" s="292"/>
      <c r="E12" s="292"/>
      <c r="F12" s="292"/>
      <c r="G12" s="90"/>
    </row>
    <row r="14" spans="1:7" ht="16.5" customHeight="1" x14ac:dyDescent="0.3">
      <c r="A14" s="297" t="s">
        <v>33</v>
      </c>
      <c r="B14" s="297"/>
      <c r="C14" s="60" t="s">
        <v>5</v>
      </c>
    </row>
    <row r="15" spans="1:7" ht="16.5" customHeight="1" x14ac:dyDescent="0.3">
      <c r="A15" s="297" t="s">
        <v>34</v>
      </c>
      <c r="B15" s="297"/>
      <c r="C15" s="60" t="s">
        <v>7</v>
      </c>
    </row>
    <row r="16" spans="1:7" ht="16.5" customHeight="1" x14ac:dyDescent="0.3">
      <c r="A16" s="297" t="s">
        <v>35</v>
      </c>
      <c r="B16" s="297"/>
      <c r="C16" s="60" t="s">
        <v>9</v>
      </c>
    </row>
    <row r="17" spans="1:5" ht="16.5" customHeight="1" x14ac:dyDescent="0.3">
      <c r="A17" s="297" t="s">
        <v>36</v>
      </c>
      <c r="B17" s="297"/>
      <c r="C17" s="60" t="s">
        <v>11</v>
      </c>
    </row>
    <row r="18" spans="1:5" ht="16.5" customHeight="1" x14ac:dyDescent="0.3">
      <c r="A18" s="297" t="s">
        <v>37</v>
      </c>
      <c r="B18" s="297"/>
      <c r="C18" s="97" t="s">
        <v>12</v>
      </c>
    </row>
    <row r="19" spans="1:5" ht="16.5" customHeight="1" x14ac:dyDescent="0.3">
      <c r="A19" s="297" t="s">
        <v>38</v>
      </c>
      <c r="B19" s="297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2" t="s">
        <v>1</v>
      </c>
      <c r="B21" s="292"/>
      <c r="C21" s="59" t="s">
        <v>39</v>
      </c>
      <c r="D21" s="66"/>
    </row>
    <row r="22" spans="1:5" ht="15.75" customHeight="1" x14ac:dyDescent="0.3">
      <c r="A22" s="296"/>
      <c r="B22" s="296"/>
      <c r="C22" s="57"/>
      <c r="D22" s="296"/>
      <c r="E22" s="296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822.84</v>
      </c>
      <c r="D24" s="87">
        <f t="shared" ref="D24:D43" si="0">(C24-$C$46)/$C$46</f>
        <v>1.3965375529724574E-2</v>
      </c>
      <c r="E24" s="53"/>
    </row>
    <row r="25" spans="1:5" ht="15.75" customHeight="1" x14ac:dyDescent="0.3">
      <c r="C25" s="95">
        <v>805.98</v>
      </c>
      <c r="D25" s="88">
        <f t="shared" si="0"/>
        <v>-6.810785365991689E-3</v>
      </c>
      <c r="E25" s="53"/>
    </row>
    <row r="26" spans="1:5" ht="15.75" customHeight="1" x14ac:dyDescent="0.3">
      <c r="C26" s="95">
        <v>792.52</v>
      </c>
      <c r="D26" s="88">
        <f t="shared" si="0"/>
        <v>-2.3397210375264609E-2</v>
      </c>
      <c r="E26" s="53"/>
    </row>
    <row r="27" spans="1:5" ht="15.75" customHeight="1" x14ac:dyDescent="0.3">
      <c r="C27" s="95">
        <v>802.78</v>
      </c>
      <c r="D27" s="88">
        <f t="shared" si="0"/>
        <v>-1.0754066200291389E-2</v>
      </c>
      <c r="E27" s="53"/>
    </row>
    <row r="28" spans="1:5" ht="15.75" customHeight="1" x14ac:dyDescent="0.3">
      <c r="C28" s="95">
        <v>828.93</v>
      </c>
      <c r="D28" s="88">
        <f t="shared" si="0"/>
        <v>2.1469931867500982E-2</v>
      </c>
      <c r="E28" s="53"/>
    </row>
    <row r="29" spans="1:5" ht="15.75" customHeight="1" x14ac:dyDescent="0.3">
      <c r="C29" s="95">
        <v>822.68</v>
      </c>
      <c r="D29" s="88">
        <f t="shared" si="0"/>
        <v>1.3768211488009491E-2</v>
      </c>
      <c r="E29" s="53"/>
    </row>
    <row r="30" spans="1:5" ht="15.75" customHeight="1" x14ac:dyDescent="0.3">
      <c r="C30" s="95">
        <v>828.35</v>
      </c>
      <c r="D30" s="88">
        <f t="shared" si="0"/>
        <v>2.075521221628426E-2</v>
      </c>
      <c r="E30" s="53"/>
    </row>
    <row r="31" spans="1:5" ht="15.75" customHeight="1" x14ac:dyDescent="0.3">
      <c r="C31" s="95">
        <v>788.41</v>
      </c>
      <c r="D31" s="88">
        <f t="shared" si="0"/>
        <v>-2.846186169681823E-2</v>
      </c>
      <c r="E31" s="53"/>
    </row>
    <row r="32" spans="1:5" ht="15.75" customHeight="1" x14ac:dyDescent="0.3">
      <c r="C32" s="95">
        <v>796.48</v>
      </c>
      <c r="D32" s="88">
        <f t="shared" si="0"/>
        <v>-1.8517400342818756E-2</v>
      </c>
      <c r="E32" s="53"/>
    </row>
    <row r="33" spans="1:7" ht="15.75" customHeight="1" x14ac:dyDescent="0.3">
      <c r="C33" s="95">
        <v>798.84</v>
      </c>
      <c r="D33" s="88">
        <f t="shared" si="0"/>
        <v>-1.560923072752275E-2</v>
      </c>
      <c r="E33" s="53"/>
    </row>
    <row r="34" spans="1:7" ht="15.75" customHeight="1" x14ac:dyDescent="0.3">
      <c r="C34" s="95">
        <v>817.24</v>
      </c>
      <c r="D34" s="88">
        <f t="shared" si="0"/>
        <v>7.0646340697001703E-3</v>
      </c>
      <c r="E34" s="53"/>
    </row>
    <row r="35" spans="1:7" ht="15.75" customHeight="1" x14ac:dyDescent="0.3">
      <c r="C35" s="95">
        <v>821.98</v>
      </c>
      <c r="D35" s="88">
        <f t="shared" si="0"/>
        <v>1.2905618805506528E-2</v>
      </c>
      <c r="E35" s="53"/>
    </row>
    <row r="36" spans="1:7" ht="15.75" customHeight="1" x14ac:dyDescent="0.3">
      <c r="C36" s="95">
        <v>825.46</v>
      </c>
      <c r="D36" s="88">
        <f t="shared" si="0"/>
        <v>1.7193936712807414E-2</v>
      </c>
      <c r="E36" s="53"/>
    </row>
    <row r="37" spans="1:7" ht="15.75" customHeight="1" x14ac:dyDescent="0.3">
      <c r="C37" s="95">
        <v>828.6</v>
      </c>
      <c r="D37" s="88">
        <f t="shared" si="0"/>
        <v>2.1063281031463921E-2</v>
      </c>
      <c r="E37" s="53"/>
    </row>
    <row r="38" spans="1:7" ht="15.75" customHeight="1" x14ac:dyDescent="0.3">
      <c r="C38" s="95">
        <v>839.1</v>
      </c>
      <c r="D38" s="88">
        <f t="shared" si="0"/>
        <v>3.4002171269009625E-2</v>
      </c>
      <c r="E38" s="53"/>
    </row>
    <row r="39" spans="1:7" ht="15.75" customHeight="1" x14ac:dyDescent="0.3">
      <c r="C39" s="95">
        <v>796.15</v>
      </c>
      <c r="D39" s="88">
        <f t="shared" si="0"/>
        <v>-1.8924051178855955E-2</v>
      </c>
      <c r="E39" s="53"/>
    </row>
    <row r="40" spans="1:7" ht="15.75" customHeight="1" x14ac:dyDescent="0.3">
      <c r="C40" s="95">
        <v>792.51</v>
      </c>
      <c r="D40" s="88">
        <f t="shared" si="0"/>
        <v>-2.3409533127871782E-2</v>
      </c>
      <c r="E40" s="53"/>
    </row>
    <row r="41" spans="1:7" ht="15.75" customHeight="1" x14ac:dyDescent="0.3">
      <c r="C41" s="95">
        <v>829.81</v>
      </c>
      <c r="D41" s="88">
        <f t="shared" si="0"/>
        <v>2.2554334096933377E-2</v>
      </c>
      <c r="E41" s="53"/>
    </row>
    <row r="42" spans="1:7" ht="15.75" customHeight="1" x14ac:dyDescent="0.3">
      <c r="C42" s="95">
        <v>792.51</v>
      </c>
      <c r="D42" s="88">
        <f t="shared" si="0"/>
        <v>-2.3409533127871782E-2</v>
      </c>
      <c r="E42" s="53"/>
    </row>
    <row r="43" spans="1:7" ht="16.5" customHeight="1" x14ac:dyDescent="0.3">
      <c r="C43" s="96">
        <v>798.97</v>
      </c>
      <c r="D43" s="89">
        <f t="shared" si="0"/>
        <v>-1.5449034943629333E-2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16230.139999999998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811.50699999999983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90">
        <f>C46</f>
        <v>811.50699999999983</v>
      </c>
      <c r="C49" s="93">
        <f>-IF(C46&lt;=80,10%,IF(C46&lt;250,7.5%,5%))</f>
        <v>-0.05</v>
      </c>
      <c r="D49" s="81">
        <f>IF(C46&lt;=80,C46*0.9,IF(C46&lt;250,C46*0.925,C46*0.95))</f>
        <v>770.93164999999976</v>
      </c>
    </row>
    <row r="50" spans="1:6" ht="17.25" customHeight="1" x14ac:dyDescent="0.3">
      <c r="B50" s="291"/>
      <c r="C50" s="94">
        <f>IF(C46&lt;=80, 10%, IF(C46&lt;250, 7.5%, 5%))</f>
        <v>0.05</v>
      </c>
      <c r="D50" s="81">
        <f>IF(C46&lt;=80, C46*1.1, IF(C46&lt;250, C46*1.075, C46*1.05))</f>
        <v>852.08234999999991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" zoomScale="50" zoomScaleNormal="40" zoomScalePageLayoutView="50" workbookViewId="0">
      <selection activeCell="F70" sqref="F7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8" t="s">
        <v>45</v>
      </c>
      <c r="B1" s="328"/>
      <c r="C1" s="328"/>
      <c r="D1" s="328"/>
      <c r="E1" s="328"/>
      <c r="F1" s="328"/>
      <c r="G1" s="328"/>
      <c r="H1" s="328"/>
      <c r="I1" s="328"/>
    </row>
    <row r="2" spans="1:9" ht="18.75" customHeight="1" x14ac:dyDescent="0.25">
      <c r="A2" s="328"/>
      <c r="B2" s="328"/>
      <c r="C2" s="328"/>
      <c r="D2" s="328"/>
      <c r="E2" s="328"/>
      <c r="F2" s="328"/>
      <c r="G2" s="328"/>
      <c r="H2" s="328"/>
      <c r="I2" s="328"/>
    </row>
    <row r="3" spans="1:9" ht="18.75" customHeight="1" x14ac:dyDescent="0.25">
      <c r="A3" s="328"/>
      <c r="B3" s="328"/>
      <c r="C3" s="328"/>
      <c r="D3" s="328"/>
      <c r="E3" s="328"/>
      <c r="F3" s="328"/>
      <c r="G3" s="328"/>
      <c r="H3" s="328"/>
      <c r="I3" s="328"/>
    </row>
    <row r="4" spans="1:9" ht="18.75" customHeight="1" x14ac:dyDescent="0.25">
      <c r="A4" s="328"/>
      <c r="B4" s="328"/>
      <c r="C4" s="328"/>
      <c r="D4" s="328"/>
      <c r="E4" s="328"/>
      <c r="F4" s="328"/>
      <c r="G4" s="328"/>
      <c r="H4" s="328"/>
      <c r="I4" s="328"/>
    </row>
    <row r="5" spans="1:9" ht="18.75" customHeight="1" x14ac:dyDescent="0.25">
      <c r="A5" s="328"/>
      <c r="B5" s="328"/>
      <c r="C5" s="328"/>
      <c r="D5" s="328"/>
      <c r="E5" s="328"/>
      <c r="F5" s="328"/>
      <c r="G5" s="328"/>
      <c r="H5" s="328"/>
      <c r="I5" s="328"/>
    </row>
    <row r="6" spans="1:9" ht="18.75" customHeight="1" x14ac:dyDescent="0.25">
      <c r="A6" s="328"/>
      <c r="B6" s="328"/>
      <c r="C6" s="328"/>
      <c r="D6" s="328"/>
      <c r="E6" s="328"/>
      <c r="F6" s="328"/>
      <c r="G6" s="328"/>
      <c r="H6" s="328"/>
      <c r="I6" s="328"/>
    </row>
    <row r="7" spans="1:9" ht="18.75" customHeight="1" x14ac:dyDescent="0.25">
      <c r="A7" s="328"/>
      <c r="B7" s="328"/>
      <c r="C7" s="328"/>
      <c r="D7" s="328"/>
      <c r="E7" s="328"/>
      <c r="F7" s="328"/>
      <c r="G7" s="328"/>
      <c r="H7" s="328"/>
      <c r="I7" s="328"/>
    </row>
    <row r="8" spans="1:9" x14ac:dyDescent="0.25">
      <c r="A8" s="329" t="s">
        <v>46</v>
      </c>
      <c r="B8" s="329"/>
      <c r="C8" s="329"/>
      <c r="D8" s="329"/>
      <c r="E8" s="329"/>
      <c r="F8" s="329"/>
      <c r="G8" s="329"/>
      <c r="H8" s="329"/>
      <c r="I8" s="329"/>
    </row>
    <row r="9" spans="1:9" x14ac:dyDescent="0.25">
      <c r="A9" s="329"/>
      <c r="B9" s="329"/>
      <c r="C9" s="329"/>
      <c r="D9" s="329"/>
      <c r="E9" s="329"/>
      <c r="F9" s="329"/>
      <c r="G9" s="329"/>
      <c r="H9" s="329"/>
      <c r="I9" s="329"/>
    </row>
    <row r="10" spans="1:9" x14ac:dyDescent="0.25">
      <c r="A10" s="329"/>
      <c r="B10" s="329"/>
      <c r="C10" s="329"/>
      <c r="D10" s="329"/>
      <c r="E10" s="329"/>
      <c r="F10" s="329"/>
      <c r="G10" s="329"/>
      <c r="H10" s="329"/>
      <c r="I10" s="329"/>
    </row>
    <row r="11" spans="1:9" x14ac:dyDescent="0.25">
      <c r="A11" s="329"/>
      <c r="B11" s="329"/>
      <c r="C11" s="329"/>
      <c r="D11" s="329"/>
      <c r="E11" s="329"/>
      <c r="F11" s="329"/>
      <c r="G11" s="329"/>
      <c r="H11" s="329"/>
      <c r="I11" s="329"/>
    </row>
    <row r="12" spans="1:9" x14ac:dyDescent="0.25">
      <c r="A12" s="329"/>
      <c r="B12" s="329"/>
      <c r="C12" s="329"/>
      <c r="D12" s="329"/>
      <c r="E12" s="329"/>
      <c r="F12" s="329"/>
      <c r="G12" s="329"/>
      <c r="H12" s="329"/>
      <c r="I12" s="329"/>
    </row>
    <row r="13" spans="1:9" x14ac:dyDescent="0.25">
      <c r="A13" s="329"/>
      <c r="B13" s="329"/>
      <c r="C13" s="329"/>
      <c r="D13" s="329"/>
      <c r="E13" s="329"/>
      <c r="F13" s="329"/>
      <c r="G13" s="329"/>
      <c r="H13" s="329"/>
      <c r="I13" s="329"/>
    </row>
    <row r="14" spans="1:9" x14ac:dyDescent="0.25">
      <c r="A14" s="329"/>
      <c r="B14" s="329"/>
      <c r="C14" s="329"/>
      <c r="D14" s="329"/>
      <c r="E14" s="329"/>
      <c r="F14" s="329"/>
      <c r="G14" s="329"/>
      <c r="H14" s="329"/>
      <c r="I14" s="329"/>
    </row>
    <row r="15" spans="1:9" ht="19.5" customHeight="1" x14ac:dyDescent="0.3">
      <c r="A15" s="98"/>
    </row>
    <row r="16" spans="1:9" ht="19.5" customHeight="1" x14ac:dyDescent="0.3">
      <c r="A16" s="301" t="s">
        <v>31</v>
      </c>
      <c r="B16" s="302"/>
      <c r="C16" s="302"/>
      <c r="D16" s="302"/>
      <c r="E16" s="302"/>
      <c r="F16" s="302"/>
      <c r="G16" s="302"/>
      <c r="H16" s="303"/>
    </row>
    <row r="17" spans="1:14" ht="20.25" customHeight="1" x14ac:dyDescent="0.25">
      <c r="A17" s="304" t="s">
        <v>47</v>
      </c>
      <c r="B17" s="304"/>
      <c r="C17" s="304"/>
      <c r="D17" s="304"/>
      <c r="E17" s="304"/>
      <c r="F17" s="304"/>
      <c r="G17" s="304"/>
      <c r="H17" s="304"/>
    </row>
    <row r="18" spans="1:14" ht="26.25" customHeight="1" x14ac:dyDescent="0.4">
      <c r="A18" s="100" t="s">
        <v>33</v>
      </c>
      <c r="B18" s="300" t="s">
        <v>5</v>
      </c>
      <c r="C18" s="300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5" t="s">
        <v>131</v>
      </c>
      <c r="C20" s="305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5" t="s">
        <v>11</v>
      </c>
      <c r="C21" s="305"/>
      <c r="D21" s="305"/>
      <c r="E21" s="305"/>
      <c r="F21" s="305"/>
      <c r="G21" s="305"/>
      <c r="H21" s="305"/>
      <c r="I21" s="104"/>
    </row>
    <row r="22" spans="1:14" ht="26.25" customHeight="1" x14ac:dyDescent="0.4">
      <c r="A22" s="100" t="s">
        <v>37</v>
      </c>
      <c r="B22" s="105">
        <v>42914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42915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00" t="s">
        <v>132</v>
      </c>
      <c r="C26" s="300"/>
    </row>
    <row r="27" spans="1:14" ht="26.25" customHeight="1" x14ac:dyDescent="0.4">
      <c r="A27" s="109" t="s">
        <v>48</v>
      </c>
      <c r="B27" s="306" t="s">
        <v>133</v>
      </c>
      <c r="C27" s="306"/>
    </row>
    <row r="28" spans="1:14" ht="27" customHeight="1" x14ac:dyDescent="0.4">
      <c r="A28" s="109" t="s">
        <v>6</v>
      </c>
      <c r="B28" s="110">
        <v>99.4</v>
      </c>
    </row>
    <row r="29" spans="1:14" s="14" customFormat="1" ht="27" customHeight="1" x14ac:dyDescent="0.4">
      <c r="A29" s="109" t="s">
        <v>49</v>
      </c>
      <c r="B29" s="111">
        <v>0</v>
      </c>
      <c r="C29" s="307" t="s">
        <v>50</v>
      </c>
      <c r="D29" s="308"/>
      <c r="E29" s="308"/>
      <c r="F29" s="308"/>
      <c r="G29" s="309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10" t="s">
        <v>53</v>
      </c>
      <c r="D31" s="311"/>
      <c r="E31" s="311"/>
      <c r="F31" s="311"/>
      <c r="G31" s="311"/>
      <c r="H31" s="312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10" t="s">
        <v>55</v>
      </c>
      <c r="D32" s="311"/>
      <c r="E32" s="311"/>
      <c r="F32" s="311"/>
      <c r="G32" s="311"/>
      <c r="H32" s="312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13" t="s">
        <v>59</v>
      </c>
      <c r="E36" s="314"/>
      <c r="F36" s="313" t="s">
        <v>60</v>
      </c>
      <c r="G36" s="315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</v>
      </c>
      <c r="C38" s="131">
        <v>1</v>
      </c>
      <c r="D38" s="132">
        <v>13406084</v>
      </c>
      <c r="E38" s="133">
        <f>IF(ISBLANK(D38),"-",$D$48/$D$45*D38)</f>
        <v>13466805.827476086</v>
      </c>
      <c r="F38" s="132">
        <v>13908341</v>
      </c>
      <c r="G38" s="134">
        <f>IF(ISBLANK(F38),"-",$D$48/$F$45*F38)</f>
        <v>13250279.136942865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13451810</v>
      </c>
      <c r="E39" s="138">
        <f>IF(ISBLANK(D39),"-",$D$48/$D$45*D39)</f>
        <v>13512738.939879917</v>
      </c>
      <c r="F39" s="137">
        <v>14127920</v>
      </c>
      <c r="G39" s="139">
        <f>IF(ISBLANK(F39),"-",$D$48/$F$45*F39)</f>
        <v>13459468.934821045</v>
      </c>
      <c r="I39" s="317">
        <f>ABS((F43/D43*D42)-F42)/D42</f>
        <v>8.6368173004633848E-3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13332047</v>
      </c>
      <c r="E40" s="138">
        <f>IF(ISBLANK(D40),"-",$D$48/$D$45*D40)</f>
        <v>13392433.482572919</v>
      </c>
      <c r="F40" s="137">
        <v>13993638</v>
      </c>
      <c r="G40" s="139">
        <f>IF(ISBLANK(F40),"-",$D$48/$F$45*F40)</f>
        <v>13331540.378635446</v>
      </c>
      <c r="I40" s="31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13396647</v>
      </c>
      <c r="E42" s="148">
        <f>AVERAGE(E38:E41)</f>
        <v>13457326.083309641</v>
      </c>
      <c r="F42" s="147">
        <f>AVERAGE(F38:F41)</f>
        <v>14009966.333333334</v>
      </c>
      <c r="G42" s="149">
        <f>AVERAGE(G38:G41)</f>
        <v>13347096.150133118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20.03</v>
      </c>
      <c r="E43" s="140"/>
      <c r="F43" s="152">
        <v>21.12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20.03</v>
      </c>
      <c r="E44" s="155"/>
      <c r="F44" s="154">
        <f>F43*$B$34</f>
        <v>21.12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200</v>
      </c>
      <c r="C45" s="153" t="s">
        <v>77</v>
      </c>
      <c r="D45" s="157">
        <f>D44*$B$30/100</f>
        <v>19.909820000000003</v>
      </c>
      <c r="E45" s="158"/>
      <c r="F45" s="157">
        <f>F44*$B$30/100</f>
        <v>20.993280000000006</v>
      </c>
      <c r="H45" s="150"/>
    </row>
    <row r="46" spans="1:14" ht="19.5" customHeight="1" x14ac:dyDescent="0.3">
      <c r="A46" s="318" t="s">
        <v>78</v>
      </c>
      <c r="B46" s="319"/>
      <c r="C46" s="153" t="s">
        <v>79</v>
      </c>
      <c r="D46" s="159">
        <f>D45/$B$45</f>
        <v>9.9549100000000015E-2</v>
      </c>
      <c r="E46" s="160"/>
      <c r="F46" s="161">
        <f>F45/$B$45</f>
        <v>0.10496640000000003</v>
      </c>
      <c r="H46" s="150"/>
    </row>
    <row r="47" spans="1:14" ht="27" customHeight="1" x14ac:dyDescent="0.4">
      <c r="A47" s="320"/>
      <c r="B47" s="321"/>
      <c r="C47" s="162" t="s">
        <v>80</v>
      </c>
      <c r="D47" s="163">
        <v>0.1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13402211.116721379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7.2985556559164617E-3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tablets contains 100 mg ritonavir</v>
      </c>
    </row>
    <row r="56" spans="1:12" ht="26.25" customHeight="1" x14ac:dyDescent="0.4">
      <c r="A56" s="177" t="s">
        <v>87</v>
      </c>
      <c r="B56" s="178">
        <v>100</v>
      </c>
      <c r="C56" s="99" t="str">
        <f>B20</f>
        <v xml:space="preserve">Ritonavir </v>
      </c>
      <c r="H56" s="179"/>
    </row>
    <row r="57" spans="1:12" ht="18.75" x14ac:dyDescent="0.3">
      <c r="A57" s="176" t="s">
        <v>88</v>
      </c>
      <c r="B57" s="247">
        <f>Uniformity!C46</f>
        <v>811.50699999999983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322" t="s">
        <v>94</v>
      </c>
      <c r="D60" s="325">
        <v>799.16</v>
      </c>
      <c r="E60" s="182">
        <v>1</v>
      </c>
      <c r="F60" s="183">
        <v>13542459</v>
      </c>
      <c r="G60" s="248">
        <f>IF(ISBLANK(F60),"-",(F60/$D$50*$D$47*$B$68)*($B$57/$D$60))</f>
        <v>102.6076182428101</v>
      </c>
      <c r="H60" s="266">
        <f t="shared" ref="H60:H71" si="0">IF(ISBLANK(F60),"-",(G60/$B$56)*100)</f>
        <v>102.6076182428101</v>
      </c>
      <c r="L60" s="112"/>
    </row>
    <row r="61" spans="1:12" s="14" customFormat="1" ht="26.25" customHeight="1" x14ac:dyDescent="0.4">
      <c r="A61" s="124" t="s">
        <v>95</v>
      </c>
      <c r="B61" s="125">
        <v>20</v>
      </c>
      <c r="C61" s="323"/>
      <c r="D61" s="326"/>
      <c r="E61" s="184">
        <v>2</v>
      </c>
      <c r="F61" s="137">
        <v>13538571</v>
      </c>
      <c r="G61" s="249">
        <f>IF(ISBLANK(F61),"-",(F61/$D$50*$D$47*$B$68)*($B$57/$D$60))</f>
        <v>102.57815989852209</v>
      </c>
      <c r="H61" s="267">
        <f t="shared" si="0"/>
        <v>102.57815989852207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3"/>
      <c r="D62" s="326"/>
      <c r="E62" s="184">
        <v>3</v>
      </c>
      <c r="F62" s="185">
        <v>13573457</v>
      </c>
      <c r="G62" s="249">
        <f>IF(ISBLANK(F62),"-",(F62/$D$50*$D$47*$B$68)*($B$57/$D$60))</f>
        <v>102.84248186324199</v>
      </c>
      <c r="H62" s="267">
        <f t="shared" si="0"/>
        <v>102.84248186324199</v>
      </c>
      <c r="L62" s="112"/>
    </row>
    <row r="63" spans="1:12" ht="27" customHeight="1" x14ac:dyDescent="0.4">
      <c r="A63" s="124" t="s">
        <v>97</v>
      </c>
      <c r="B63" s="125">
        <v>1</v>
      </c>
      <c r="C63" s="324"/>
      <c r="D63" s="327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22" t="s">
        <v>99</v>
      </c>
      <c r="D64" s="325">
        <v>803.13</v>
      </c>
      <c r="E64" s="182">
        <v>1</v>
      </c>
      <c r="F64" s="183">
        <v>13731506</v>
      </c>
      <c r="G64" s="248">
        <f>IF(ISBLANK(F64),"-",(F64/$D$50*$D$47*$B$68)*($B$57/$D$64))</f>
        <v>103.52569095475434</v>
      </c>
      <c r="H64" s="266">
        <f t="shared" si="0"/>
        <v>103.52569095475434</v>
      </c>
    </row>
    <row r="65" spans="1:8" ht="26.25" customHeight="1" x14ac:dyDescent="0.4">
      <c r="A65" s="124" t="s">
        <v>100</v>
      </c>
      <c r="B65" s="125">
        <v>1</v>
      </c>
      <c r="C65" s="323"/>
      <c r="D65" s="326"/>
      <c r="E65" s="184">
        <v>2</v>
      </c>
      <c r="F65" s="137">
        <v>13561314</v>
      </c>
      <c r="G65" s="249">
        <f>IF(ISBLANK(F65),"-",(F65/$D$50*$D$47*$B$68)*($B$57/$D$64))</f>
        <v>102.24256553537415</v>
      </c>
      <c r="H65" s="267">
        <f t="shared" si="0"/>
        <v>102.24256553537417</v>
      </c>
    </row>
    <row r="66" spans="1:8" ht="26.25" customHeight="1" x14ac:dyDescent="0.4">
      <c r="A66" s="124" t="s">
        <v>101</v>
      </c>
      <c r="B66" s="125">
        <v>1</v>
      </c>
      <c r="C66" s="323"/>
      <c r="D66" s="326"/>
      <c r="E66" s="184">
        <v>3</v>
      </c>
      <c r="F66" s="137">
        <v>13607999</v>
      </c>
      <c r="G66" s="249">
        <f>IF(ISBLANK(F66),"-",(F66/$D$50*$D$47*$B$68)*($B$57/$D$64))</f>
        <v>102.59453689832753</v>
      </c>
      <c r="H66" s="267">
        <f t="shared" si="0"/>
        <v>102.59453689832753</v>
      </c>
    </row>
    <row r="67" spans="1:8" ht="27" customHeight="1" x14ac:dyDescent="0.4">
      <c r="A67" s="124" t="s">
        <v>102</v>
      </c>
      <c r="B67" s="125">
        <v>1</v>
      </c>
      <c r="C67" s="324"/>
      <c r="D67" s="327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1000</v>
      </c>
      <c r="C68" s="322" t="s">
        <v>104</v>
      </c>
      <c r="D68" s="325">
        <v>816.98</v>
      </c>
      <c r="E68" s="182">
        <v>1</v>
      </c>
      <c r="F68" s="183">
        <v>13992325</v>
      </c>
      <c r="G68" s="248">
        <f>IF(ISBLANK(F68),"-",(F68/$D$50*$D$47*$B$68)*($B$57/$D$68))</f>
        <v>103.70370546062772</v>
      </c>
      <c r="H68" s="267">
        <f t="shared" si="0"/>
        <v>103.70370546062773</v>
      </c>
    </row>
    <row r="69" spans="1:8" ht="27" customHeight="1" x14ac:dyDescent="0.4">
      <c r="A69" s="172" t="s">
        <v>105</v>
      </c>
      <c r="B69" s="189">
        <f>(D47*B68)/B56*B57</f>
        <v>811.50699999999983</v>
      </c>
      <c r="C69" s="323"/>
      <c r="D69" s="326"/>
      <c r="E69" s="184">
        <v>2</v>
      </c>
      <c r="F69" s="137">
        <v>13923135</v>
      </c>
      <c r="G69" s="249">
        <f>IF(ISBLANK(F69),"-",(F69/$D$50*$D$47*$B$68)*($B$57/$D$68))</f>
        <v>103.1909058093317</v>
      </c>
      <c r="H69" s="267">
        <f t="shared" si="0"/>
        <v>103.1909058093317</v>
      </c>
    </row>
    <row r="70" spans="1:8" ht="26.25" customHeight="1" x14ac:dyDescent="0.4">
      <c r="A70" s="335" t="s">
        <v>78</v>
      </c>
      <c r="B70" s="336"/>
      <c r="C70" s="323"/>
      <c r="D70" s="326"/>
      <c r="E70" s="184">
        <v>3</v>
      </c>
      <c r="F70" s="137">
        <v>13823448</v>
      </c>
      <c r="G70" s="249">
        <f>IF(ISBLANK(F70),"-",(F70/$D$50*$D$47*$B$68)*($B$57/$D$68))</f>
        <v>102.45207853893496</v>
      </c>
      <c r="H70" s="267">
        <f t="shared" si="0"/>
        <v>102.45207853893497</v>
      </c>
    </row>
    <row r="71" spans="1:8" ht="27" customHeight="1" x14ac:dyDescent="0.4">
      <c r="A71" s="337"/>
      <c r="B71" s="338"/>
      <c r="C71" s="334"/>
      <c r="D71" s="327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102.85974924465829</v>
      </c>
      <c r="H72" s="269">
        <f>AVERAGE(H60:H71)</f>
        <v>102.85974924465829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4.8924999753325706E-3</v>
      </c>
      <c r="H73" s="253">
        <f>STDEV(H60:H71)/H72</f>
        <v>4.8924999753325741E-3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30" t="str">
        <f>B26</f>
        <v>Ritonavir</v>
      </c>
      <c r="D76" s="330"/>
      <c r="E76" s="198" t="s">
        <v>108</v>
      </c>
      <c r="F76" s="198"/>
      <c r="G76" s="285">
        <f>H72</f>
        <v>102.85974924465829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6" t="str">
        <f>B26</f>
        <v>Ritonavir</v>
      </c>
      <c r="C79" s="316"/>
    </row>
    <row r="80" spans="1:8" ht="26.25" customHeight="1" x14ac:dyDescent="0.4">
      <c r="A80" s="109" t="s">
        <v>48</v>
      </c>
      <c r="B80" s="316" t="str">
        <f>B27</f>
        <v>R14-2</v>
      </c>
      <c r="C80" s="316"/>
    </row>
    <row r="81" spans="1:12" ht="27" customHeight="1" x14ac:dyDescent="0.4">
      <c r="A81" s="109" t="s">
        <v>6</v>
      </c>
      <c r="B81" s="201">
        <f>B28</f>
        <v>99.4</v>
      </c>
    </row>
    <row r="82" spans="1:12" s="14" customFormat="1" ht="27" customHeight="1" x14ac:dyDescent="0.4">
      <c r="A82" s="109" t="s">
        <v>49</v>
      </c>
      <c r="B82" s="111">
        <v>0</v>
      </c>
      <c r="C82" s="307" t="s">
        <v>50</v>
      </c>
      <c r="D82" s="308"/>
      <c r="E82" s="308"/>
      <c r="F82" s="308"/>
      <c r="G82" s="309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10" t="s">
        <v>111</v>
      </c>
      <c r="D84" s="311"/>
      <c r="E84" s="311"/>
      <c r="F84" s="311"/>
      <c r="G84" s="311"/>
      <c r="H84" s="312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10" t="s">
        <v>112</v>
      </c>
      <c r="D85" s="311"/>
      <c r="E85" s="311"/>
      <c r="F85" s="311"/>
      <c r="G85" s="311"/>
      <c r="H85" s="312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313" t="s">
        <v>60</v>
      </c>
      <c r="G89" s="315"/>
    </row>
    <row r="90" spans="1:12" ht="27" customHeight="1" x14ac:dyDescent="0.4">
      <c r="A90" s="124" t="s">
        <v>61</v>
      </c>
      <c r="B90" s="125">
        <v>5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</v>
      </c>
      <c r="C91" s="206">
        <v>1</v>
      </c>
      <c r="D91" s="132">
        <v>11128807</v>
      </c>
      <c r="E91" s="133">
        <f>IF(ISBLANK(D91),"-",$D$101/$D$98*D91)</f>
        <v>12421348.97363322</v>
      </c>
      <c r="F91" s="132">
        <v>11707633</v>
      </c>
      <c r="G91" s="134">
        <f>IF(ISBLANK(F91),"-",$D$101/$F$98*F91)</f>
        <v>12392995.388153834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11193334</v>
      </c>
      <c r="E92" s="138">
        <f>IF(ISBLANK(D92),"-",$D$101/$D$98*D92)</f>
        <v>12493370.384843033</v>
      </c>
      <c r="F92" s="137">
        <v>11811936</v>
      </c>
      <c r="G92" s="139">
        <f>IF(ISBLANK(F92),"-",$D$101/$F$98*F92)</f>
        <v>12503404.263967639</v>
      </c>
      <c r="I92" s="317">
        <f>ABS((F96/D96*D95)-F95)/D95</f>
        <v>4.4694976140712411E-3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11086437</v>
      </c>
      <c r="E93" s="138">
        <f>IF(ISBLANK(D93),"-",$D$101/$D$98*D93)</f>
        <v>12374057.960678028</v>
      </c>
      <c r="F93" s="137">
        <v>11856369</v>
      </c>
      <c r="G93" s="139">
        <f>IF(ISBLANK(F93),"-",$D$101/$F$98*F93)</f>
        <v>12550438.362498216</v>
      </c>
      <c r="I93" s="317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11136192.666666666</v>
      </c>
      <c r="E95" s="148">
        <f>AVERAGE(E91:E94)</f>
        <v>12429592.439718092</v>
      </c>
      <c r="F95" s="211">
        <f>AVERAGE(F91:F94)</f>
        <v>11791979.333333334</v>
      </c>
      <c r="G95" s="212">
        <f>AVERAGE(G91:G94)</f>
        <v>12482279.338206565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20.03</v>
      </c>
      <c r="E96" s="140"/>
      <c r="F96" s="152">
        <v>21.12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20.03</v>
      </c>
      <c r="E97" s="155"/>
      <c r="F97" s="154">
        <f>F96*$B$87</f>
        <v>21.12</v>
      </c>
    </row>
    <row r="98" spans="1:10" ht="19.5" customHeight="1" x14ac:dyDescent="0.3">
      <c r="A98" s="124" t="s">
        <v>76</v>
      </c>
      <c r="B98" s="217">
        <f>(B97/B96)*(B95/B94)*(B93/B92)*(B91/B90)*B89</f>
        <v>200</v>
      </c>
      <c r="C98" s="215" t="s">
        <v>115</v>
      </c>
      <c r="D98" s="218">
        <f>D97*$B$83/100</f>
        <v>19.909820000000003</v>
      </c>
      <c r="E98" s="158"/>
      <c r="F98" s="157">
        <f>F97*$B$83/100</f>
        <v>20.993280000000006</v>
      </c>
    </row>
    <row r="99" spans="1:10" ht="19.5" customHeight="1" x14ac:dyDescent="0.3">
      <c r="A99" s="318" t="s">
        <v>78</v>
      </c>
      <c r="B99" s="332"/>
      <c r="C99" s="215" t="s">
        <v>116</v>
      </c>
      <c r="D99" s="219">
        <f>D98/$B$98</f>
        <v>9.9549100000000015E-2</v>
      </c>
      <c r="E99" s="158"/>
      <c r="F99" s="161">
        <f>F98/$B$98</f>
        <v>0.10496640000000003</v>
      </c>
      <c r="G99" s="220"/>
      <c r="H99" s="150"/>
    </row>
    <row r="100" spans="1:10" ht="19.5" customHeight="1" x14ac:dyDescent="0.3">
      <c r="A100" s="320"/>
      <c r="B100" s="333"/>
      <c r="C100" s="215" t="s">
        <v>80</v>
      </c>
      <c r="D100" s="221">
        <f>$B$56/$B$116</f>
        <v>0.1111111111111111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22.222222222222221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22.222222222222221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12455935.888962328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5.6137358256101392E-3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11642345</v>
      </c>
      <c r="E108" s="250">
        <f t="shared" ref="E108:E113" si="1">IF(ISBLANK(D108),"-",D108/$D$103*$D$100*$B$116)</f>
        <v>93.468247619327556</v>
      </c>
      <c r="F108" s="277">
        <f t="shared" ref="F108:F113" si="2">IF(ISBLANK(D108), "-", (E108/$B$56)*100)</f>
        <v>93.468247619327556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11586563</v>
      </c>
      <c r="E109" s="251">
        <f t="shared" si="1"/>
        <v>93.020412944380084</v>
      </c>
      <c r="F109" s="278">
        <f t="shared" si="2"/>
        <v>93.020412944380084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11598247</v>
      </c>
      <c r="E110" s="251">
        <f t="shared" si="1"/>
        <v>93.114215610869039</v>
      </c>
      <c r="F110" s="278">
        <f t="shared" si="2"/>
        <v>93.114215610869039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11563004</v>
      </c>
      <c r="E111" s="251">
        <f t="shared" si="1"/>
        <v>92.831274205950365</v>
      </c>
      <c r="F111" s="278">
        <f t="shared" si="2"/>
        <v>92.831274205950365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11598941</v>
      </c>
      <c r="E112" s="251">
        <f t="shared" si="1"/>
        <v>93.119787251620778</v>
      </c>
      <c r="F112" s="278">
        <f t="shared" si="2"/>
        <v>93.119787251620778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11616939</v>
      </c>
      <c r="E113" s="252">
        <f t="shared" si="1"/>
        <v>93.264280609329447</v>
      </c>
      <c r="F113" s="279">
        <f t="shared" si="2"/>
        <v>93.264280609329447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93.136369706912888</v>
      </c>
      <c r="F115" s="281">
        <f>AVERAGE(F108:F113)</f>
        <v>93.136369706912888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34"/>
      <c r="D116" s="258" t="s">
        <v>84</v>
      </c>
      <c r="E116" s="256">
        <f>STDEV(E108:E113)/E115</f>
        <v>2.3217591716518937E-3</v>
      </c>
      <c r="F116" s="235">
        <f>STDEV(F108:F113)/F115</f>
        <v>2.3217591716518937E-3</v>
      </c>
      <c r="I116" s="98"/>
    </row>
    <row r="117" spans="1:10" ht="27" customHeight="1" x14ac:dyDescent="0.4">
      <c r="A117" s="318" t="s">
        <v>78</v>
      </c>
      <c r="B117" s="319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20"/>
      <c r="B118" s="321"/>
      <c r="C118" s="98"/>
      <c r="D118" s="260"/>
      <c r="E118" s="298" t="s">
        <v>123</v>
      </c>
      <c r="F118" s="299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92.831274205950365</v>
      </c>
      <c r="F119" s="282">
        <f>MIN(F108:F113)</f>
        <v>92.831274205950365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93.468247619327556</v>
      </c>
      <c r="F120" s="283">
        <f>MAX(F108:F113)</f>
        <v>93.468247619327556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30" t="str">
        <f>B26</f>
        <v>Ritonavir</v>
      </c>
      <c r="D124" s="330"/>
      <c r="E124" s="198" t="s">
        <v>127</v>
      </c>
      <c r="F124" s="198"/>
      <c r="G124" s="284">
        <f>F115</f>
        <v>93.136369706912888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92.831274205950365</v>
      </c>
      <c r="E125" s="209" t="s">
        <v>130</v>
      </c>
      <c r="F125" s="284">
        <f>MAX(F108:F113)</f>
        <v>93.468247619327556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31" t="s">
        <v>26</v>
      </c>
      <c r="C127" s="331"/>
      <c r="E127" s="204" t="s">
        <v>27</v>
      </c>
      <c r="F127" s="239"/>
      <c r="G127" s="331" t="s">
        <v>28</v>
      </c>
      <c r="H127" s="331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RITONAVIR</vt:lpstr>
      <vt:lpstr>RITONAVIR!Print_Area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2017-06-29T13:46:23Z</cp:lastPrinted>
  <dcterms:created xsi:type="dcterms:W3CDTF">2005-07-05T10:19:27Z</dcterms:created>
  <dcterms:modified xsi:type="dcterms:W3CDTF">2017-07-31T08:40:52Z</dcterms:modified>
</cp:coreProperties>
</file>