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SST TDF" sheetId="1" r:id="rId1"/>
    <sheet name="SST LAM" sheetId="5" r:id="rId2"/>
    <sheet name="Uniformity" sheetId="2" r:id="rId3"/>
    <sheet name="Tenofovir Disoproxil Fumarate" sheetId="3" r:id="rId4"/>
    <sheet name="Lamivudine" sheetId="4" r:id="rId5"/>
  </sheets>
  <definedNames>
    <definedName name="_xlnm.Print_Area" localSheetId="4">Lamivudine!$A$1:$I$129</definedName>
    <definedName name="_xlnm.Print_Area" localSheetId="1">'SST LAM'!$A$15:$G$61</definedName>
    <definedName name="_xlnm.Print_Area" localSheetId="0">'SST TDF'!$A$15:$H$61</definedName>
    <definedName name="_xlnm.Print_Area" localSheetId="3">'Tenofovir Disoproxil Fumarate'!$A$1:$I$129</definedName>
    <definedName name="_xlnm.Print_Area" localSheetId="2">Uniformity!$A$12:$O$54</definedName>
  </definedNames>
  <calcPr calcId="145621"/>
</workbook>
</file>

<file path=xl/calcChain.xml><?xml version="1.0" encoding="utf-8"?>
<calcChain xmlns="http://schemas.openxmlformats.org/spreadsheetml/2006/main">
  <c r="B42" i="5" l="1"/>
  <c r="B42" i="1"/>
  <c r="E51" i="1"/>
  <c r="B21" i="5" l="1"/>
  <c r="E30" i="1"/>
  <c r="B21" i="1"/>
  <c r="B53" i="5"/>
  <c r="E51" i="5"/>
  <c r="D51" i="5"/>
  <c r="C51" i="5"/>
  <c r="B51" i="5"/>
  <c r="B52" i="5" s="1"/>
  <c r="B32" i="5"/>
  <c r="E30" i="5"/>
  <c r="D30" i="5"/>
  <c r="C30" i="5"/>
  <c r="B30" i="5"/>
  <c r="B31" i="5" s="1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C46" i="2"/>
  <c r="D42" i="2" s="1"/>
  <c r="C45" i="2"/>
  <c r="D37" i="2"/>
  <c r="D29" i="2"/>
  <c r="C19" i="2"/>
  <c r="B53" i="1"/>
  <c r="F51" i="1"/>
  <c r="D51" i="1"/>
  <c r="C51" i="1"/>
  <c r="B51" i="1"/>
  <c r="B52" i="1" s="1"/>
  <c r="B32" i="1"/>
  <c r="F30" i="1"/>
  <c r="D30" i="1"/>
  <c r="C30" i="1"/>
  <c r="B30" i="1"/>
  <c r="B31" i="1" s="1"/>
  <c r="D24" i="2" l="1"/>
  <c r="D32" i="2"/>
  <c r="D38" i="2"/>
  <c r="D26" i="2"/>
  <c r="D33" i="2"/>
  <c r="D40" i="2"/>
  <c r="C50" i="2"/>
  <c r="D28" i="2"/>
  <c r="D34" i="2"/>
  <c r="I92" i="4"/>
  <c r="D101" i="3"/>
  <c r="D102" i="3" s="1"/>
  <c r="I92" i="3"/>
  <c r="D101" i="4"/>
  <c r="D102" i="4" s="1"/>
  <c r="I39" i="4"/>
  <c r="F98" i="4"/>
  <c r="F99" i="4" s="1"/>
  <c r="F45" i="4"/>
  <c r="F46" i="4" s="1"/>
  <c r="D97" i="3"/>
  <c r="I39" i="3"/>
  <c r="F98" i="3"/>
  <c r="G91" i="3" s="1"/>
  <c r="G40" i="3"/>
  <c r="D49" i="3"/>
  <c r="B57" i="4"/>
  <c r="B69" i="4" s="1"/>
  <c r="B57" i="3"/>
  <c r="C49" i="2"/>
  <c r="D43" i="2"/>
  <c r="D39" i="2"/>
  <c r="D35" i="2"/>
  <c r="D31" i="2"/>
  <c r="D27" i="2"/>
  <c r="D50" i="2"/>
  <c r="B49" i="2"/>
  <c r="F44" i="3"/>
  <c r="F45" i="3" s="1"/>
  <c r="G41" i="3" s="1"/>
  <c r="D44" i="3"/>
  <c r="D45" i="3" s="1"/>
  <c r="D46" i="3" s="1"/>
  <c r="D49" i="4"/>
  <c r="D25" i="2"/>
  <c r="D30" i="2"/>
  <c r="D36" i="2"/>
  <c r="D41" i="2"/>
  <c r="D49" i="2"/>
  <c r="B69" i="3"/>
  <c r="D98" i="3"/>
  <c r="E91" i="3" s="1"/>
  <c r="D97" i="4"/>
  <c r="D98" i="4" s="1"/>
  <c r="D99" i="4" s="1"/>
  <c r="D44" i="4"/>
  <c r="D45" i="4" s="1"/>
  <c r="D46" i="4" s="1"/>
  <c r="E91" i="4" l="1"/>
  <c r="G93" i="3"/>
  <c r="G93" i="4"/>
  <c r="G94" i="4"/>
  <c r="G40" i="4"/>
  <c r="G41" i="4"/>
  <c r="G39" i="4"/>
  <c r="G38" i="4"/>
  <c r="G91" i="4"/>
  <c r="G92" i="4"/>
  <c r="E92" i="4"/>
  <c r="E94" i="4"/>
  <c r="E38" i="3"/>
  <c r="G38" i="3"/>
  <c r="E39" i="3"/>
  <c r="G94" i="3"/>
  <c r="G92" i="3"/>
  <c r="F99" i="3"/>
  <c r="E94" i="3"/>
  <c r="E41" i="4"/>
  <c r="E40" i="4"/>
  <c r="E38" i="4"/>
  <c r="E39" i="4"/>
  <c r="F46" i="3"/>
  <c r="G39" i="3"/>
  <c r="E40" i="3"/>
  <c r="E41" i="3"/>
  <c r="D99" i="3"/>
  <c r="E93" i="3"/>
  <c r="E92" i="3"/>
  <c r="E93" i="4"/>
  <c r="G95" i="3" l="1"/>
  <c r="E95" i="4"/>
  <c r="D103" i="4"/>
  <c r="D104" i="4" s="1"/>
  <c r="G42" i="4"/>
  <c r="D105" i="4"/>
  <c r="G95" i="4"/>
  <c r="D103" i="3"/>
  <c r="E113" i="3" s="1"/>
  <c r="F113" i="3" s="1"/>
  <c r="D105" i="3"/>
  <c r="E42" i="3"/>
  <c r="G42" i="3"/>
  <c r="D50" i="3"/>
  <c r="G68" i="3" s="1"/>
  <c r="H68" i="3" s="1"/>
  <c r="D52" i="3"/>
  <c r="E95" i="3"/>
  <c r="D50" i="4"/>
  <c r="E42" i="4"/>
  <c r="D52" i="4"/>
  <c r="E110" i="3"/>
  <c r="F110" i="3" s="1"/>
  <c r="D104" i="3" l="1"/>
  <c r="E110" i="4"/>
  <c r="F110" i="4" s="1"/>
  <c r="E109" i="4"/>
  <c r="F109" i="4" s="1"/>
  <c r="E111" i="4"/>
  <c r="F111" i="4" s="1"/>
  <c r="E108" i="4"/>
  <c r="F108" i="4" s="1"/>
  <c r="E112" i="4"/>
  <c r="F112" i="4" s="1"/>
  <c r="E113" i="4"/>
  <c r="F113" i="4" s="1"/>
  <c r="E109" i="3"/>
  <c r="F109" i="3" s="1"/>
  <c r="E108" i="3"/>
  <c r="F108" i="3" s="1"/>
  <c r="E111" i="3"/>
  <c r="F111" i="3" s="1"/>
  <c r="E112" i="3"/>
  <c r="F112" i="3" s="1"/>
  <c r="D51" i="3"/>
  <c r="G64" i="3"/>
  <c r="H64" i="3" s="1"/>
  <c r="G66" i="3"/>
  <c r="H66" i="3" s="1"/>
  <c r="G60" i="3"/>
  <c r="H60" i="3" s="1"/>
  <c r="G65" i="3"/>
  <c r="H65" i="3" s="1"/>
  <c r="G69" i="3"/>
  <c r="H69" i="3" s="1"/>
  <c r="G63" i="3"/>
  <c r="H63" i="3" s="1"/>
  <c r="G62" i="3"/>
  <c r="H62" i="3" s="1"/>
  <c r="G67" i="3"/>
  <c r="H67" i="3" s="1"/>
  <c r="G61" i="3"/>
  <c r="H61" i="3" s="1"/>
  <c r="G70" i="3"/>
  <c r="H70" i="3" s="1"/>
  <c r="G71" i="3"/>
  <c r="H71" i="3" s="1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D51" i="4"/>
  <c r="E117" i="4" l="1"/>
  <c r="E119" i="4"/>
  <c r="E120" i="4"/>
  <c r="E115" i="4"/>
  <c r="E116" i="4" s="1"/>
  <c r="E117" i="3"/>
  <c r="E120" i="3"/>
  <c r="E115" i="3"/>
  <c r="E116" i="3" s="1"/>
  <c r="E119" i="3"/>
  <c r="G74" i="3"/>
  <c r="G72" i="3"/>
  <c r="G73" i="3" s="1"/>
  <c r="H74" i="3"/>
  <c r="H72" i="3"/>
  <c r="G74" i="4"/>
  <c r="G72" i="4"/>
  <c r="G73" i="4" s="1"/>
  <c r="H60" i="4"/>
  <c r="F125" i="4"/>
  <c r="F120" i="4"/>
  <c r="F117" i="4"/>
  <c r="D125" i="4"/>
  <c r="F115" i="4"/>
  <c r="F119" i="4"/>
  <c r="F125" i="3"/>
  <c r="F120" i="3"/>
  <c r="F117" i="3"/>
  <c r="D125" i="3"/>
  <c r="F115" i="3"/>
  <c r="F119" i="3"/>
  <c r="G124" i="4" l="1"/>
  <c r="F116" i="4"/>
  <c r="G76" i="3"/>
  <c r="H73" i="3"/>
  <c r="H74" i="4"/>
  <c r="H72" i="4"/>
  <c r="F116" i="3"/>
  <c r="G124" i="3"/>
  <c r="G76" i="4" l="1"/>
  <c r="H73" i="4"/>
</calcChain>
</file>

<file path=xl/sharedStrings.xml><?xml version="1.0" encoding="utf-8"?>
<sst xmlns="http://schemas.openxmlformats.org/spreadsheetml/2006/main" count="454" uniqueCount="141">
  <si>
    <t>HPLC System Suitability Report</t>
  </si>
  <si>
    <t>Analysis Data</t>
  </si>
  <si>
    <t>Assay</t>
  </si>
  <si>
    <t>Sample(s)</t>
  </si>
  <si>
    <t>Reference Substance:</t>
  </si>
  <si>
    <t>TENOFOVIR DISOPROXIL FUMARATE AND LAMIVUDINE TABLETS</t>
  </si>
  <si>
    <t>% age Purity:</t>
  </si>
  <si>
    <t>NDQB201707002</t>
  </si>
  <si>
    <t>Weight (mg):</t>
  </si>
  <si>
    <t xml:space="preserve">Tenofovir Disoproxil Fumarate 300mg, Lamivudine 300mg </t>
  </si>
  <si>
    <t>Standard Conc (mg/mL):</t>
  </si>
  <si>
    <t xml:space="preserve">Each film coated tablet contains Tenofovir Disoproxil Fumarate 300mg equivalent to Tenofovir Disoproxil Fumarate  245 mg and Lamivudine 300mg </t>
  </si>
  <si>
    <t>2017-07-13 11:06:12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</si>
  <si>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</si>
  <si>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</si>
  <si>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</si>
  <si>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</si>
  <si>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</si>
  <si>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</si>
  <si>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</si>
  <si>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</si>
  <si>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</si>
  <si>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</si>
  <si>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</si>
  <si>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</si>
  <si>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</si>
  <si>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</si>
  <si>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</si>
  <si>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</si>
  <si>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</si>
  <si>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</si>
  <si>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</si>
  <si>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</si>
  <si>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</si>
  <si>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</si>
  <si>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</si>
  <si>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</si>
  <si>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</si>
  <si>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</si>
  <si>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</si>
  <si>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</si>
  <si>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</si>
  <si>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</si>
  <si>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</si>
  <si>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</si>
  <si>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</si>
  <si>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</si>
  <si>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</si>
  <si>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</si>
  <si>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</si>
  <si>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</si>
  <si>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</si>
  <si>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</si>
  <si>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</si>
  <si>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</si>
  <si>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</si>
  <si>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</si>
  <si>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</si>
  <si>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</si>
  <si>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</si>
  <si>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</si>
  <si>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</si>
  <si>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</si>
  <si>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</si>
  <si>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</si>
  <si>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</si>
  <si>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</si>
  <si>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</si>
  <si>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</si>
  <si>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</si>
  <si>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</si>
  <si>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</si>
  <si>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</si>
  <si>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</si>
  <si>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</si>
  <si>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</si>
  <si>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</si>
  <si>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</si>
  <si>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</si>
  <si>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</si>
  <si>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</si>
  <si>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</si>
  <si>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</si>
  <si>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</si>
  <si>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</si>
  <si>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</si>
  <si>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</si>
  <si>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</si>
  <si>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</si>
  <si>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</si>
  <si>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</si>
  <si>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</si>
  <si>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</si>
  <si>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</si>
  <si>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</si>
  <si>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</si>
  <si>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</si>
  <si>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</si>
  <si>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</si>
  <si>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</si>
  <si>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</si>
  <si>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</si>
  <si>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</si>
  <si>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</si>
  <si>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</si>
  <si>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</si>
  <si>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</si>
  <si>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</si>
  <si>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</si>
  <si>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</si>
  <si>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</si>
  <si>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</si>
  <si>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</si>
  <si>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</si>
  <si>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</si>
  <si>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</si>
  <si>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</si>
  <si>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</si>
  <si>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</si>
  <si>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</si>
  <si>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</si>
  <si>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</si>
  <si>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</si>
  <si>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</si>
  <si>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</si>
  <si>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</si>
  <si>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</si>
  <si>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</si>
  <si>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</si>
  <si>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</si>
  <si>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</si>
  <si>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T11-10</t>
  </si>
  <si>
    <t>Tenofovir Disoproxil Fumarate</t>
  </si>
  <si>
    <t xml:space="preserve">Lamivudine </t>
  </si>
  <si>
    <t>L3-10</t>
  </si>
  <si>
    <t xml:space="preserve">                         Tenofovir Disoproxil Fumarate </t>
  </si>
  <si>
    <t>Resolution(USP)</t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</si>
  <si>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10000</t>
    </r>
  </si>
  <si>
    <r>
      <t>The number of Theoretical Plates (USP) for all peaks should be</t>
    </r>
    <r>
      <rPr>
        <b/>
        <sz val="12"/>
        <color rgb="FF000000"/>
        <rFont val="Book Antiqua"/>
        <family val="1"/>
      </rPr>
      <t xml:space="preserve"> NLT 2000</t>
    </r>
  </si>
  <si>
    <t>RUTT O KENNEDY</t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</si>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</sst>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10" fontId="2" fillId="2" borderId="0" xfId="0" applyNumberFormat="1" applyFont="1" applyFill="1" applyBorder="1"/>
    <xf numFmtId="15" fontId="2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40" workbookViewId="0">
      <selection activeCell="B46" sqref="B4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85546875" style="408" customWidth="1"/>
    <col min="6" max="6" width="25.7109375" style="4" customWidth="1"/>
    <col min="7" max="7" width="23.140625" style="4" customWidth="1"/>
    <col min="8" max="8" width="28.42578125" style="4" customWidth="1"/>
    <col min="9" max="9" width="21.5703125" style="4" customWidth="1"/>
    <col min="10" max="10" width="9.140625" style="4" customWidth="1"/>
  </cols>
  <sheetData>
    <row r="14" spans="1:7" ht="15" customHeight="1" x14ac:dyDescent="0.3">
      <c r="A14" s="1"/>
      <c r="B14" s="2"/>
      <c r="C14" s="3"/>
      <c r="D14" s="2"/>
      <c r="G14" s="3"/>
    </row>
    <row r="15" spans="1:7" ht="18.75" customHeight="1" x14ac:dyDescent="0.3">
      <c r="A15" s="476" t="s">
        <v>0</v>
      </c>
      <c r="B15" s="476"/>
      <c r="C15" s="476"/>
      <c r="D15" s="476"/>
      <c r="E15" s="476"/>
      <c r="F15" s="476"/>
    </row>
    <row r="16" spans="1:7" ht="16.5" customHeight="1" x14ac:dyDescent="0.3">
      <c r="A16" s="5" t="s">
        <v>1</v>
      </c>
      <c r="B16" s="6" t="s">
        <v>2</v>
      </c>
    </row>
    <row r="17" spans="1:7" ht="16.5" customHeight="1" x14ac:dyDescent="0.3">
      <c r="A17" s="7" t="s">
        <v>3</v>
      </c>
      <c r="B17" s="8" t="s">
        <v>5</v>
      </c>
      <c r="D17" s="9"/>
      <c r="E17" s="9"/>
      <c r="F17" s="10"/>
    </row>
    <row r="18" spans="1:7" ht="16.5" customHeight="1" x14ac:dyDescent="0.3">
      <c r="A18" s="11" t="s">
        <v>4</v>
      </c>
      <c r="B18" s="12" t="s">
        <v>135</v>
      </c>
      <c r="C18" s="10"/>
      <c r="D18" s="10"/>
      <c r="E18" s="72"/>
      <c r="F18" s="10"/>
    </row>
    <row r="19" spans="1:7" ht="16.5" customHeight="1" x14ac:dyDescent="0.3">
      <c r="A19" s="11" t="s">
        <v>6</v>
      </c>
      <c r="B19" s="12">
        <v>99.54</v>
      </c>
      <c r="C19" s="10"/>
      <c r="D19" s="10"/>
      <c r="E19" s="72"/>
      <c r="F19" s="10"/>
    </row>
    <row r="20" spans="1:7" ht="16.5" customHeight="1" x14ac:dyDescent="0.3">
      <c r="A20" s="7" t="s">
        <v>8</v>
      </c>
      <c r="B20" s="12">
        <v>11.73</v>
      </c>
      <c r="C20" s="10"/>
      <c r="D20" s="10"/>
      <c r="E20" s="72"/>
      <c r="F20" s="10"/>
    </row>
    <row r="21" spans="1:7" ht="16.5" customHeight="1" x14ac:dyDescent="0.3">
      <c r="A21" s="7" t="s">
        <v>10</v>
      </c>
      <c r="B21" s="13">
        <f>11.73/100</f>
        <v>0.1173</v>
      </c>
      <c r="C21" s="10"/>
      <c r="D21" s="10"/>
      <c r="E21" s="72"/>
      <c r="F21" s="10"/>
    </row>
    <row r="22" spans="1:7" ht="15.75" customHeight="1" x14ac:dyDescent="0.25">
      <c r="A22" s="10"/>
      <c r="B22" s="10"/>
      <c r="C22" s="10"/>
      <c r="D22" s="10"/>
      <c r="E22" s="72"/>
      <c r="F22" s="10"/>
    </row>
    <row r="23" spans="1:7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136</v>
      </c>
      <c r="F23" s="16" t="s">
        <v>17</v>
      </c>
    </row>
    <row r="24" spans="1:7" ht="16.5" customHeight="1" x14ac:dyDescent="0.3">
      <c r="A24" s="17">
        <v>1</v>
      </c>
      <c r="B24" s="18">
        <v>11502552</v>
      </c>
      <c r="C24" s="18">
        <v>45300.9</v>
      </c>
      <c r="D24" s="19">
        <v>1</v>
      </c>
      <c r="E24" s="19">
        <v>41.8</v>
      </c>
      <c r="F24" s="20">
        <v>15.9</v>
      </c>
    </row>
    <row r="25" spans="1:7" ht="16.5" customHeight="1" x14ac:dyDescent="0.3">
      <c r="A25" s="17">
        <v>2</v>
      </c>
      <c r="B25" s="18">
        <v>11518633</v>
      </c>
      <c r="C25" s="18">
        <v>45418.400000000001</v>
      </c>
      <c r="D25" s="19">
        <v>1</v>
      </c>
      <c r="E25" s="19">
        <v>41.8</v>
      </c>
      <c r="F25" s="19">
        <v>15.9</v>
      </c>
    </row>
    <row r="26" spans="1:7" ht="16.5" customHeight="1" x14ac:dyDescent="0.3">
      <c r="A26" s="17">
        <v>3</v>
      </c>
      <c r="B26" s="18">
        <v>11512795</v>
      </c>
      <c r="C26" s="18">
        <v>45503.8</v>
      </c>
      <c r="D26" s="19">
        <v>1</v>
      </c>
      <c r="E26" s="19">
        <v>41.7</v>
      </c>
      <c r="F26" s="19">
        <v>15.9</v>
      </c>
    </row>
    <row r="27" spans="1:7" ht="16.5" customHeight="1" x14ac:dyDescent="0.3">
      <c r="A27" s="17">
        <v>4</v>
      </c>
      <c r="B27" s="18">
        <v>11498961</v>
      </c>
      <c r="C27" s="18">
        <v>45607.199999999997</v>
      </c>
      <c r="D27" s="19">
        <v>1</v>
      </c>
      <c r="E27" s="19">
        <v>41.6</v>
      </c>
      <c r="F27" s="19">
        <v>15.9</v>
      </c>
    </row>
    <row r="28" spans="1:7" ht="16.5" customHeight="1" x14ac:dyDescent="0.3">
      <c r="A28" s="17">
        <v>5</v>
      </c>
      <c r="B28" s="18">
        <v>11506744</v>
      </c>
      <c r="C28" s="18">
        <v>45723.9</v>
      </c>
      <c r="D28" s="19">
        <v>1</v>
      </c>
      <c r="E28" s="19">
        <v>41.7</v>
      </c>
      <c r="F28" s="19">
        <v>15.9</v>
      </c>
    </row>
    <row r="29" spans="1:7" ht="16.5" customHeight="1" x14ac:dyDescent="0.3">
      <c r="A29" s="17">
        <v>6</v>
      </c>
      <c r="B29" s="21">
        <v>11639402</v>
      </c>
      <c r="C29" s="21">
        <v>46866.3</v>
      </c>
      <c r="D29" s="22">
        <v>1</v>
      </c>
      <c r="E29" s="22">
        <v>42.3</v>
      </c>
      <c r="F29" s="22">
        <v>15.9</v>
      </c>
    </row>
    <row r="30" spans="1:7" ht="16.5" customHeight="1" x14ac:dyDescent="0.3">
      <c r="A30" s="23" t="s">
        <v>18</v>
      </c>
      <c r="B30" s="24">
        <f>AVERAGE(B24:B29)</f>
        <v>11529847.833333334</v>
      </c>
      <c r="C30" s="25">
        <f>AVERAGE(C24:C29)</f>
        <v>45736.75</v>
      </c>
      <c r="D30" s="26">
        <f>AVERAGE(D24:D29)</f>
        <v>1</v>
      </c>
      <c r="E30" s="26">
        <f>AVERAGE(E24:E29)</f>
        <v>41.81666666666667</v>
      </c>
      <c r="F30" s="26">
        <f>AVERAGE(F24:F29)</f>
        <v>15.9</v>
      </c>
    </row>
    <row r="31" spans="1:7" ht="16.5" customHeight="1" x14ac:dyDescent="0.3">
      <c r="A31" s="27" t="s">
        <v>19</v>
      </c>
      <c r="B31" s="28">
        <f>(STDEV(B24:B29)/B30)</f>
        <v>4.6949714771942616E-3</v>
      </c>
      <c r="C31" s="29"/>
      <c r="D31" s="29"/>
      <c r="E31" s="29"/>
      <c r="F31" s="30"/>
      <c r="G31" s="2"/>
    </row>
    <row r="32" spans="1:7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73"/>
      <c r="F32" s="35"/>
    </row>
    <row r="33" spans="1:7" s="2" customFormat="1" ht="15.75" customHeight="1" x14ac:dyDescent="0.25">
      <c r="A33" s="10"/>
      <c r="B33" s="10"/>
      <c r="C33" s="10"/>
      <c r="D33" s="10"/>
      <c r="E33" s="72"/>
      <c r="F33" s="36"/>
    </row>
    <row r="34" spans="1:7" s="2" customFormat="1" ht="16.5" customHeight="1" x14ac:dyDescent="0.3">
      <c r="A34" s="11" t="s">
        <v>21</v>
      </c>
      <c r="B34" s="37" t="s">
        <v>22</v>
      </c>
      <c r="C34" s="38"/>
      <c r="D34" s="38"/>
      <c r="E34" s="39"/>
      <c r="F34" s="39"/>
    </row>
    <row r="35" spans="1:7" ht="16.5" customHeight="1" x14ac:dyDescent="0.3">
      <c r="A35" s="11"/>
      <c r="B35" s="37" t="s">
        <v>137</v>
      </c>
      <c r="C35" s="38"/>
      <c r="D35" s="38"/>
      <c r="E35" s="39"/>
      <c r="F35" s="39"/>
      <c r="G35" s="2"/>
    </row>
    <row r="36" spans="1:7" ht="16.5" customHeight="1" x14ac:dyDescent="0.3">
      <c r="A36" s="11"/>
      <c r="B36" s="40" t="s">
        <v>24</v>
      </c>
      <c r="C36" s="38"/>
      <c r="D36" s="38"/>
      <c r="E36" s="39"/>
      <c r="F36" s="38"/>
    </row>
    <row r="37" spans="1:7" ht="15.75" customHeight="1" x14ac:dyDescent="0.25">
      <c r="A37" s="10"/>
      <c r="B37" s="10"/>
      <c r="C37" s="10"/>
      <c r="D37" s="10"/>
      <c r="E37" s="72"/>
      <c r="F37" s="10"/>
    </row>
    <row r="38" spans="1:7" ht="16.5" customHeight="1" x14ac:dyDescent="0.3">
      <c r="A38" s="5" t="s">
        <v>1</v>
      </c>
      <c r="B38" s="6" t="s">
        <v>25</v>
      </c>
    </row>
    <row r="39" spans="1:7" ht="16.5" customHeight="1" x14ac:dyDescent="0.3">
      <c r="A39" s="11" t="s">
        <v>4</v>
      </c>
      <c r="B39" s="12" t="s">
        <v>135</v>
      </c>
      <c r="C39" s="10"/>
      <c r="D39" s="10"/>
      <c r="E39" s="72"/>
      <c r="F39" s="10"/>
    </row>
    <row r="40" spans="1:7" ht="16.5" customHeight="1" x14ac:dyDescent="0.3">
      <c r="A40" s="11" t="s">
        <v>6</v>
      </c>
      <c r="B40" s="12">
        <v>99.54</v>
      </c>
      <c r="C40" s="10"/>
      <c r="D40" s="10"/>
      <c r="E40" s="72"/>
      <c r="F40" s="10"/>
    </row>
    <row r="41" spans="1:7" ht="16.5" customHeight="1" x14ac:dyDescent="0.3">
      <c r="A41" s="7" t="s">
        <v>8</v>
      </c>
      <c r="B41" s="12">
        <v>15.56</v>
      </c>
      <c r="C41" s="10"/>
      <c r="D41" s="10"/>
      <c r="E41" s="72"/>
      <c r="F41" s="10"/>
    </row>
    <row r="42" spans="1:7" ht="16.5" customHeight="1" x14ac:dyDescent="0.3">
      <c r="A42" s="7" t="s">
        <v>10</v>
      </c>
      <c r="B42" s="13">
        <f>15.56/50</f>
        <v>0.31120000000000003</v>
      </c>
      <c r="C42" s="10"/>
      <c r="D42" s="10"/>
      <c r="E42" s="72"/>
      <c r="F42" s="10"/>
    </row>
    <row r="43" spans="1:7" ht="15.75" customHeight="1" x14ac:dyDescent="0.25">
      <c r="A43" s="10"/>
      <c r="B43" s="10"/>
      <c r="C43" s="10"/>
      <c r="D43" s="10"/>
      <c r="E43" s="72"/>
      <c r="F43" s="10"/>
    </row>
    <row r="44" spans="1:7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136</v>
      </c>
      <c r="F44" s="16" t="s">
        <v>17</v>
      </c>
    </row>
    <row r="45" spans="1:7" ht="16.5" customHeight="1" x14ac:dyDescent="0.3">
      <c r="A45" s="17">
        <v>1</v>
      </c>
      <c r="B45" s="18">
        <v>3835374</v>
      </c>
      <c r="C45" s="18">
        <v>9187</v>
      </c>
      <c r="D45" s="19">
        <v>1.23</v>
      </c>
      <c r="E45" s="19">
        <v>14.44</v>
      </c>
      <c r="F45" s="20">
        <v>7.64</v>
      </c>
    </row>
    <row r="46" spans="1:7" ht="16.5" customHeight="1" x14ac:dyDescent="0.3">
      <c r="A46" s="17">
        <v>2</v>
      </c>
      <c r="B46" s="18">
        <v>3848858</v>
      </c>
      <c r="C46" s="18">
        <v>9187</v>
      </c>
      <c r="D46" s="19">
        <v>1.23</v>
      </c>
      <c r="E46" s="19">
        <v>14.42</v>
      </c>
      <c r="F46" s="19">
        <v>7.64</v>
      </c>
    </row>
    <row r="47" spans="1:7" ht="16.5" customHeight="1" x14ac:dyDescent="0.3">
      <c r="A47" s="17">
        <v>3</v>
      </c>
      <c r="B47" s="18">
        <v>3833946</v>
      </c>
      <c r="C47" s="18">
        <v>9406</v>
      </c>
      <c r="D47" s="19">
        <v>1.24</v>
      </c>
      <c r="E47" s="19">
        <v>14.49</v>
      </c>
      <c r="F47" s="19">
        <v>7.64</v>
      </c>
    </row>
    <row r="48" spans="1:7" ht="16.5" customHeight="1" x14ac:dyDescent="0.3">
      <c r="A48" s="17">
        <v>4</v>
      </c>
      <c r="B48" s="18">
        <v>3839500</v>
      </c>
      <c r="C48" s="18">
        <v>9129</v>
      </c>
      <c r="D48" s="19">
        <v>1.21</v>
      </c>
      <c r="E48" s="19">
        <v>14.39</v>
      </c>
      <c r="F48" s="19">
        <v>7.65</v>
      </c>
    </row>
    <row r="49" spans="1:8" ht="16.5" customHeight="1" x14ac:dyDescent="0.3">
      <c r="A49" s="17">
        <v>5</v>
      </c>
      <c r="B49" s="18">
        <v>3832924</v>
      </c>
      <c r="C49" s="18">
        <v>9233</v>
      </c>
      <c r="D49" s="19">
        <v>1.22</v>
      </c>
      <c r="E49" s="19">
        <v>14.37</v>
      </c>
      <c r="F49" s="19">
        <v>7.65</v>
      </c>
    </row>
    <row r="50" spans="1:8" ht="16.5" customHeight="1" x14ac:dyDescent="0.3">
      <c r="A50" s="17">
        <v>6</v>
      </c>
      <c r="B50" s="21">
        <v>3840389</v>
      </c>
      <c r="C50" s="21">
        <v>9106</v>
      </c>
      <c r="D50" s="22">
        <v>1.25</v>
      </c>
      <c r="E50" s="22">
        <v>14.27</v>
      </c>
      <c r="F50" s="22">
        <v>7.65</v>
      </c>
    </row>
    <row r="51" spans="1:8" ht="16.5" customHeight="1" x14ac:dyDescent="0.3">
      <c r="A51" s="23" t="s">
        <v>18</v>
      </c>
      <c r="B51" s="24">
        <f>AVERAGE(B45:B50)</f>
        <v>3838498.5</v>
      </c>
      <c r="C51" s="25">
        <f>AVERAGE(C45:C50)</f>
        <v>9208</v>
      </c>
      <c r="D51" s="26">
        <f>AVERAGE(D45:D50)</f>
        <v>1.23</v>
      </c>
      <c r="E51" s="26">
        <f>AVERAGE(E45:E50)</f>
        <v>14.396666666666667</v>
      </c>
      <c r="F51" s="26">
        <f>AVERAGE(F45:F50)</f>
        <v>7.6449999999999996</v>
      </c>
    </row>
    <row r="52" spans="1:8" ht="16.5" customHeight="1" x14ac:dyDescent="0.3">
      <c r="A52" s="27" t="s">
        <v>19</v>
      </c>
      <c r="B52" s="28">
        <f>(STDEV(B45:B50)/B51)</f>
        <v>1.5344477023197872E-3</v>
      </c>
      <c r="C52" s="29"/>
      <c r="D52" s="29"/>
      <c r="E52" s="29"/>
      <c r="F52" s="30"/>
      <c r="G52" s="2"/>
    </row>
    <row r="53" spans="1:8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73"/>
      <c r="F53" s="35"/>
    </row>
    <row r="54" spans="1:8" s="2" customFormat="1" ht="15.75" customHeight="1" x14ac:dyDescent="0.25">
      <c r="A54" s="10"/>
      <c r="B54" s="10"/>
      <c r="C54" s="10"/>
      <c r="D54" s="10"/>
      <c r="E54" s="72"/>
      <c r="F54" s="36"/>
    </row>
    <row r="55" spans="1:8" s="2" customFormat="1" ht="16.5" customHeight="1" x14ac:dyDescent="0.3">
      <c r="A55" s="11" t="s">
        <v>21</v>
      </c>
      <c r="B55" s="37" t="s">
        <v>22</v>
      </c>
      <c r="C55" s="38"/>
      <c r="D55" s="38"/>
      <c r="E55" s="39"/>
      <c r="F55" s="39"/>
    </row>
    <row r="56" spans="1:8" ht="16.5" customHeight="1" x14ac:dyDescent="0.3">
      <c r="A56" s="11"/>
      <c r="B56" s="37" t="s">
        <v>23</v>
      </c>
      <c r="C56" s="38"/>
      <c r="D56" s="38"/>
      <c r="E56" s="39"/>
      <c r="F56" s="39"/>
      <c r="G56" s="2"/>
    </row>
    <row r="57" spans="1:8" ht="16.5" customHeight="1" x14ac:dyDescent="0.3">
      <c r="A57" s="11"/>
      <c r="B57" s="40" t="s">
        <v>24</v>
      </c>
      <c r="C57" s="38"/>
      <c r="D57" s="39"/>
      <c r="E57" s="39"/>
      <c r="F57" s="38"/>
    </row>
    <row r="58" spans="1:8" ht="14.25" customHeight="1" x14ac:dyDescent="0.25">
      <c r="A58" s="41"/>
      <c r="B58" s="42"/>
      <c r="D58" s="43"/>
      <c r="E58" s="474"/>
      <c r="G58" s="44"/>
      <c r="H58" s="44"/>
    </row>
    <row r="59" spans="1:8" ht="15" customHeight="1" x14ac:dyDescent="0.3">
      <c r="B59" s="477" t="s">
        <v>26</v>
      </c>
      <c r="C59" s="477"/>
      <c r="F59" s="45" t="s">
        <v>27</v>
      </c>
      <c r="G59" s="46"/>
      <c r="H59" s="45" t="s">
        <v>28</v>
      </c>
    </row>
    <row r="60" spans="1:8" ht="15" customHeight="1" x14ac:dyDescent="0.3">
      <c r="A60" s="47" t="s">
        <v>29</v>
      </c>
      <c r="B60" s="48" t="s">
        <v>139</v>
      </c>
      <c r="C60" s="48"/>
      <c r="F60" s="475">
        <v>43010</v>
      </c>
      <c r="G60" s="2"/>
      <c r="H60" s="49"/>
    </row>
    <row r="61" spans="1:8" ht="15" customHeight="1" x14ac:dyDescent="0.3">
      <c r="A61" s="47" t="s">
        <v>30</v>
      </c>
      <c r="B61" s="50"/>
      <c r="C61" s="50"/>
      <c r="F61" s="50"/>
      <c r="G61" s="2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E61" sqref="E61"/>
    </sheetView>
  </sheetViews>
  <sheetFormatPr defaultRowHeight="13.5" x14ac:dyDescent="0.25"/>
  <cols>
    <col min="1" max="1" width="27.5703125" style="408" customWidth="1"/>
    <col min="2" max="2" width="20.42578125" style="408" customWidth="1"/>
    <col min="3" max="3" width="31.85546875" style="408" customWidth="1"/>
    <col min="4" max="4" width="25.85546875" style="408" customWidth="1"/>
    <col min="5" max="5" width="25.7109375" style="408" customWidth="1"/>
    <col min="6" max="6" width="23.140625" style="408" customWidth="1"/>
    <col min="7" max="7" width="28.42578125" style="408" customWidth="1"/>
    <col min="8" max="8" width="21.5703125" style="408" customWidth="1"/>
    <col min="9" max="9" width="9.140625" style="40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6" t="s">
        <v>0</v>
      </c>
      <c r="B15" s="476"/>
      <c r="C15" s="476"/>
      <c r="D15" s="476"/>
      <c r="E15" s="476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133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99.39</v>
      </c>
      <c r="C19" s="72"/>
      <c r="D19" s="72"/>
      <c r="E19" s="72"/>
    </row>
    <row r="20" spans="1:5" ht="16.5" customHeight="1" x14ac:dyDescent="0.3">
      <c r="A20" s="8" t="s">
        <v>8</v>
      </c>
      <c r="B20" s="12">
        <v>11.76</v>
      </c>
      <c r="C20" s="72"/>
      <c r="D20" s="72"/>
      <c r="E20" s="72"/>
    </row>
    <row r="21" spans="1:5" ht="16.5" customHeight="1" x14ac:dyDescent="0.3">
      <c r="A21" s="8" t="s">
        <v>10</v>
      </c>
      <c r="B21" s="13">
        <f>11.76/100</f>
        <v>0.1176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22763601</v>
      </c>
      <c r="C24" s="18">
        <v>3964.6</v>
      </c>
      <c r="D24" s="19">
        <v>0.9</v>
      </c>
      <c r="E24" s="20">
        <v>4.0999999999999996</v>
      </c>
    </row>
    <row r="25" spans="1:5" ht="16.5" customHeight="1" x14ac:dyDescent="0.3">
      <c r="A25" s="17">
        <v>2</v>
      </c>
      <c r="B25" s="18">
        <v>22768315</v>
      </c>
      <c r="C25" s="18">
        <v>4012.4</v>
      </c>
      <c r="D25" s="19">
        <v>0.9</v>
      </c>
      <c r="E25" s="19">
        <v>4.0999999999999996</v>
      </c>
    </row>
    <row r="26" spans="1:5" ht="16.5" customHeight="1" x14ac:dyDescent="0.3">
      <c r="A26" s="17">
        <v>3</v>
      </c>
      <c r="B26" s="18">
        <v>22798756</v>
      </c>
      <c r="C26" s="18">
        <v>3956.4</v>
      </c>
      <c r="D26" s="19">
        <v>1</v>
      </c>
      <c r="E26" s="19">
        <v>4.2</v>
      </c>
    </row>
    <row r="27" spans="1:5" ht="16.5" customHeight="1" x14ac:dyDescent="0.3">
      <c r="A27" s="17">
        <v>4</v>
      </c>
      <c r="B27" s="18">
        <v>22834847</v>
      </c>
      <c r="C27" s="18">
        <v>3898.6</v>
      </c>
      <c r="D27" s="19">
        <v>1</v>
      </c>
      <c r="E27" s="19">
        <v>4.2</v>
      </c>
    </row>
    <row r="28" spans="1:5" ht="16.5" customHeight="1" x14ac:dyDescent="0.3">
      <c r="A28" s="17">
        <v>5</v>
      </c>
      <c r="B28" s="18">
        <v>22798397</v>
      </c>
      <c r="C28" s="18">
        <v>3908.6</v>
      </c>
      <c r="D28" s="19">
        <v>0.9</v>
      </c>
      <c r="E28" s="19">
        <v>4.2</v>
      </c>
    </row>
    <row r="29" spans="1:5" ht="16.5" customHeight="1" x14ac:dyDescent="0.3">
      <c r="A29" s="17">
        <v>6</v>
      </c>
      <c r="B29" s="21">
        <v>22866466</v>
      </c>
      <c r="C29" s="21">
        <v>3994.1</v>
      </c>
      <c r="D29" s="22">
        <v>0.9</v>
      </c>
      <c r="E29" s="22">
        <v>4.0999999999999996</v>
      </c>
    </row>
    <row r="30" spans="1:5" ht="16.5" customHeight="1" x14ac:dyDescent="0.3">
      <c r="A30" s="23" t="s">
        <v>18</v>
      </c>
      <c r="B30" s="24">
        <f>AVERAGE(B24:B29)</f>
        <v>22805063.666666668</v>
      </c>
      <c r="C30" s="25">
        <f>AVERAGE(C24:C29)</f>
        <v>3955.7833333333328</v>
      </c>
      <c r="D30" s="26">
        <f>AVERAGE(D24:D29)</f>
        <v>0.93333333333333346</v>
      </c>
      <c r="E30" s="26">
        <f>AVERAGE(E24:E29)</f>
        <v>4.1499999999999995</v>
      </c>
    </row>
    <row r="31" spans="1:5" ht="16.5" customHeight="1" x14ac:dyDescent="0.3">
      <c r="A31" s="27" t="s">
        <v>19</v>
      </c>
      <c r="B31" s="28">
        <f>(STDEV(B24:B29)/B30)</f>
        <v>1.7331692300822912E-3</v>
      </c>
      <c r="C31" s="29"/>
      <c r="D31" s="29"/>
      <c r="E31" s="30"/>
    </row>
    <row r="32" spans="1:5" s="408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8" customFormat="1" ht="15.75" customHeight="1" x14ac:dyDescent="0.25">
      <c r="A33" s="72"/>
      <c r="B33" s="72"/>
      <c r="C33" s="72"/>
      <c r="D33" s="72"/>
      <c r="E33" s="72"/>
    </row>
    <row r="34" spans="1:5" s="408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138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133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99.39</v>
      </c>
      <c r="C40" s="72"/>
      <c r="D40" s="72"/>
      <c r="E40" s="72"/>
    </row>
    <row r="41" spans="1:5" ht="16.5" customHeight="1" x14ac:dyDescent="0.3">
      <c r="A41" s="8" t="s">
        <v>8</v>
      </c>
      <c r="B41" s="12">
        <v>16.440000000000001</v>
      </c>
      <c r="C41" s="72"/>
      <c r="D41" s="72"/>
      <c r="E41" s="72"/>
    </row>
    <row r="42" spans="1:5" ht="16.5" customHeight="1" x14ac:dyDescent="0.3">
      <c r="A42" s="8" t="s">
        <v>10</v>
      </c>
      <c r="B42" s="13">
        <f>16.44/50</f>
        <v>0.32880000000000004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5437454</v>
      </c>
      <c r="C45" s="18">
        <v>477</v>
      </c>
      <c r="D45" s="19">
        <v>1.29</v>
      </c>
      <c r="E45" s="20">
        <v>2.2999999999999998</v>
      </c>
    </row>
    <row r="46" spans="1:5" ht="16.5" customHeight="1" x14ac:dyDescent="0.3">
      <c r="A46" s="17">
        <v>2</v>
      </c>
      <c r="B46" s="18">
        <v>5475638</v>
      </c>
      <c r="C46" s="18">
        <v>456</v>
      </c>
      <c r="D46" s="19">
        <v>1.29</v>
      </c>
      <c r="E46" s="19">
        <v>2.27</v>
      </c>
    </row>
    <row r="47" spans="1:5" ht="16.5" customHeight="1" x14ac:dyDescent="0.3">
      <c r="A47" s="17">
        <v>3</v>
      </c>
      <c r="B47" s="18">
        <v>5452020</v>
      </c>
      <c r="C47" s="18">
        <v>459</v>
      </c>
      <c r="D47" s="19">
        <v>1.28</v>
      </c>
      <c r="E47" s="19">
        <v>2.2799999999999998</v>
      </c>
    </row>
    <row r="48" spans="1:5" ht="16.5" customHeight="1" x14ac:dyDescent="0.3">
      <c r="A48" s="17">
        <v>4</v>
      </c>
      <c r="B48" s="18">
        <v>5461010</v>
      </c>
      <c r="C48" s="18">
        <v>462</v>
      </c>
      <c r="D48" s="19">
        <v>1.26</v>
      </c>
      <c r="E48" s="19">
        <v>2.29</v>
      </c>
    </row>
    <row r="49" spans="1:7" ht="16.5" customHeight="1" x14ac:dyDescent="0.3">
      <c r="A49" s="17">
        <v>5</v>
      </c>
      <c r="B49" s="18">
        <v>5445490</v>
      </c>
      <c r="C49" s="18">
        <v>456</v>
      </c>
      <c r="D49" s="19">
        <v>1.29</v>
      </c>
      <c r="E49" s="19">
        <v>2.29</v>
      </c>
    </row>
    <row r="50" spans="1:7" ht="16.5" customHeight="1" x14ac:dyDescent="0.3">
      <c r="A50" s="17">
        <v>6</v>
      </c>
      <c r="B50" s="21">
        <v>5457376</v>
      </c>
      <c r="C50" s="21">
        <v>454</v>
      </c>
      <c r="D50" s="22">
        <v>1.28</v>
      </c>
      <c r="E50" s="22">
        <v>2.29</v>
      </c>
    </row>
    <row r="51" spans="1:7" ht="16.5" customHeight="1" x14ac:dyDescent="0.3">
      <c r="A51" s="23" t="s">
        <v>18</v>
      </c>
      <c r="B51" s="24">
        <f>AVERAGE(B45:B50)</f>
        <v>5454831.333333333</v>
      </c>
      <c r="C51" s="25">
        <f>AVERAGE(C45:C50)</f>
        <v>460.66666666666669</v>
      </c>
      <c r="D51" s="26">
        <f>AVERAGE(D45:D50)</f>
        <v>1.2816666666666667</v>
      </c>
      <c r="E51" s="26">
        <f>AVERAGE(E45:E50)</f>
        <v>2.2866666666666666</v>
      </c>
    </row>
    <row r="52" spans="1:7" ht="16.5" customHeight="1" x14ac:dyDescent="0.3">
      <c r="A52" s="27" t="s">
        <v>19</v>
      </c>
      <c r="B52" s="28">
        <f>(STDEV(B45:B50)/B51)</f>
        <v>2.4247353172088264E-3</v>
      </c>
      <c r="C52" s="29"/>
      <c r="D52" s="29"/>
      <c r="E52" s="30"/>
    </row>
    <row r="53" spans="1:7" s="408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08" customFormat="1" ht="15.75" customHeight="1" x14ac:dyDescent="0.25">
      <c r="A54" s="72"/>
      <c r="B54" s="72"/>
      <c r="C54" s="72"/>
      <c r="D54" s="72"/>
      <c r="E54" s="72"/>
    </row>
    <row r="55" spans="1:7" s="408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8"/>
      <c r="D58" s="43"/>
      <c r="F58" s="44"/>
      <c r="G58" s="44"/>
    </row>
    <row r="59" spans="1:7" ht="15" customHeight="1" x14ac:dyDescent="0.3">
      <c r="B59" s="477" t="s">
        <v>26</v>
      </c>
      <c r="C59" s="47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 t="s">
        <v>140</v>
      </c>
      <c r="C60" s="49"/>
      <c r="E60" s="475">
        <v>43010</v>
      </c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4" workbookViewId="0">
      <selection activeCell="C22" sqref="C22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81" t="s">
        <v>31</v>
      </c>
      <c r="B11" s="482"/>
      <c r="C11" s="482"/>
      <c r="D11" s="482"/>
      <c r="E11" s="482"/>
      <c r="F11" s="483"/>
      <c r="G11" s="91"/>
    </row>
    <row r="12" spans="1:7" ht="16.5" customHeight="1" x14ac:dyDescent="0.3">
      <c r="A12" s="480" t="s">
        <v>32</v>
      </c>
      <c r="B12" s="480"/>
      <c r="C12" s="480"/>
      <c r="D12" s="480"/>
      <c r="E12" s="480"/>
      <c r="F12" s="480"/>
      <c r="G12" s="90"/>
    </row>
    <row r="14" spans="1:7" ht="16.5" customHeight="1" x14ac:dyDescent="0.3">
      <c r="A14" s="485" t="s">
        <v>33</v>
      </c>
      <c r="B14" s="485"/>
      <c r="C14" s="60" t="s">
        <v>5</v>
      </c>
    </row>
    <row r="15" spans="1:7" ht="16.5" customHeight="1" x14ac:dyDescent="0.3">
      <c r="A15" s="485" t="s">
        <v>34</v>
      </c>
      <c r="B15" s="485"/>
      <c r="C15" s="60" t="s">
        <v>7</v>
      </c>
    </row>
    <row r="16" spans="1:7" ht="16.5" customHeight="1" x14ac:dyDescent="0.3">
      <c r="A16" s="485" t="s">
        <v>35</v>
      </c>
      <c r="B16" s="485"/>
      <c r="C16" s="60" t="s">
        <v>9</v>
      </c>
    </row>
    <row r="17" spans="1:5" ht="16.5" customHeight="1" x14ac:dyDescent="0.3">
      <c r="A17" s="485" t="s">
        <v>36</v>
      </c>
      <c r="B17" s="485"/>
      <c r="C17" s="60" t="s">
        <v>11</v>
      </c>
    </row>
    <row r="18" spans="1:5" ht="16.5" customHeight="1" x14ac:dyDescent="0.3">
      <c r="A18" s="485" t="s">
        <v>37</v>
      </c>
      <c r="B18" s="485"/>
      <c r="C18" s="97" t="s">
        <v>12</v>
      </c>
    </row>
    <row r="19" spans="1:5" ht="16.5" customHeight="1" x14ac:dyDescent="0.3">
      <c r="A19" s="485" t="s">
        <v>38</v>
      </c>
      <c r="B19" s="48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80" t="s">
        <v>1</v>
      </c>
      <c r="B21" s="480"/>
      <c r="C21" s="59" t="s">
        <v>39</v>
      </c>
      <c r="D21" s="66"/>
    </row>
    <row r="22" spans="1:5" ht="15.75" customHeight="1" x14ac:dyDescent="0.3">
      <c r="A22" s="484"/>
      <c r="B22" s="484"/>
      <c r="C22" s="57"/>
      <c r="D22" s="484"/>
      <c r="E22" s="48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1068.8900000000001</v>
      </c>
      <c r="D24" s="87">
        <f t="shared" ref="D24:D43" si="0">(C24-$C$46)/$C$46</f>
        <v>-3.4847051759282453E-2</v>
      </c>
      <c r="E24" s="53"/>
    </row>
    <row r="25" spans="1:5" ht="15.75" customHeight="1" x14ac:dyDescent="0.3">
      <c r="C25" s="95">
        <v>1126.8499999999999</v>
      </c>
      <c r="D25" s="88">
        <f t="shared" si="0"/>
        <v>1.7487860982002241E-2</v>
      </c>
      <c r="E25" s="53"/>
    </row>
    <row r="26" spans="1:5" ht="15.75" customHeight="1" x14ac:dyDescent="0.3">
      <c r="C26" s="95">
        <v>1123.5999999999999</v>
      </c>
      <c r="D26" s="88">
        <f t="shared" si="0"/>
        <v>1.4553277365556835E-2</v>
      </c>
      <c r="E26" s="53"/>
    </row>
    <row r="27" spans="1:5" ht="15.75" customHeight="1" x14ac:dyDescent="0.3">
      <c r="C27" s="95">
        <v>1110.0999999999999</v>
      </c>
      <c r="D27" s="88">
        <f t="shared" si="0"/>
        <v>2.363468497245141E-3</v>
      </c>
      <c r="E27" s="53"/>
    </row>
    <row r="28" spans="1:5" ht="15.75" customHeight="1" x14ac:dyDescent="0.3">
      <c r="C28" s="95">
        <v>1104.54</v>
      </c>
      <c r="D28" s="88">
        <f t="shared" si="0"/>
        <v>-2.656926858889107E-3</v>
      </c>
      <c r="E28" s="53"/>
    </row>
    <row r="29" spans="1:5" ht="15.75" customHeight="1" x14ac:dyDescent="0.3">
      <c r="C29" s="95">
        <v>1134.5</v>
      </c>
      <c r="D29" s="88">
        <f t="shared" si="0"/>
        <v>2.4395419340712283E-2</v>
      </c>
      <c r="E29" s="53"/>
    </row>
    <row r="30" spans="1:5" ht="15.75" customHeight="1" x14ac:dyDescent="0.3">
      <c r="C30" s="95">
        <v>1137.1099999999999</v>
      </c>
      <c r="D30" s="88">
        <f t="shared" si="0"/>
        <v>2.6752115721919122E-2</v>
      </c>
      <c r="E30" s="53"/>
    </row>
    <row r="31" spans="1:5" ht="15.75" customHeight="1" x14ac:dyDescent="0.3">
      <c r="C31" s="95">
        <v>1096.0999999999999</v>
      </c>
      <c r="D31" s="88">
        <f t="shared" si="0"/>
        <v>-1.0277814773596615E-2</v>
      </c>
      <c r="E31" s="53"/>
    </row>
    <row r="32" spans="1:5" ht="15.75" customHeight="1" x14ac:dyDescent="0.3">
      <c r="C32" s="95">
        <v>1121.6500000000001</v>
      </c>
      <c r="D32" s="88">
        <f t="shared" si="0"/>
        <v>1.2792527195689754E-2</v>
      </c>
      <c r="E32" s="53"/>
    </row>
    <row r="33" spans="1:7" ht="15.75" customHeight="1" x14ac:dyDescent="0.3">
      <c r="C33" s="95">
        <v>1111.8</v>
      </c>
      <c r="D33" s="88">
        <f t="shared" si="0"/>
        <v>3.8984814658473955E-3</v>
      </c>
      <c r="E33" s="53"/>
    </row>
    <row r="34" spans="1:7" ht="15.75" customHeight="1" x14ac:dyDescent="0.3">
      <c r="C34" s="95">
        <v>1114.2</v>
      </c>
      <c r="D34" s="88">
        <f t="shared" si="0"/>
        <v>6.065558597991778E-3</v>
      </c>
      <c r="E34" s="53"/>
    </row>
    <row r="35" spans="1:7" ht="15.75" customHeight="1" x14ac:dyDescent="0.3">
      <c r="C35" s="95">
        <v>1111.26</v>
      </c>
      <c r="D35" s="88">
        <f t="shared" si="0"/>
        <v>3.4108891111149604E-3</v>
      </c>
      <c r="E35" s="53"/>
    </row>
    <row r="36" spans="1:7" ht="15.75" customHeight="1" x14ac:dyDescent="0.3">
      <c r="C36" s="95">
        <v>1081.21</v>
      </c>
      <c r="D36" s="88">
        <f t="shared" si="0"/>
        <v>-2.3722722480941767E-2</v>
      </c>
      <c r="E36" s="53"/>
    </row>
    <row r="37" spans="1:7" ht="15.75" customHeight="1" x14ac:dyDescent="0.3">
      <c r="C37" s="95">
        <v>1109.05</v>
      </c>
      <c r="D37" s="88">
        <f t="shared" si="0"/>
        <v>1.4153722519320503E-3</v>
      </c>
      <c r="E37" s="53"/>
    </row>
    <row r="38" spans="1:7" ht="15.75" customHeight="1" x14ac:dyDescent="0.3">
      <c r="C38" s="95">
        <v>1086</v>
      </c>
      <c r="D38" s="88">
        <f t="shared" si="0"/>
        <v>-1.9397597704703798E-2</v>
      </c>
      <c r="E38" s="53"/>
    </row>
    <row r="39" spans="1:7" ht="15.75" customHeight="1" x14ac:dyDescent="0.3">
      <c r="C39" s="95">
        <v>1088.57</v>
      </c>
      <c r="D39" s="88">
        <f t="shared" si="0"/>
        <v>-1.7077019275699334E-2</v>
      </c>
      <c r="E39" s="53"/>
    </row>
    <row r="40" spans="1:7" ht="15.75" customHeight="1" x14ac:dyDescent="0.3">
      <c r="C40" s="95">
        <v>1115.69</v>
      </c>
      <c r="D40" s="88">
        <f t="shared" si="0"/>
        <v>7.4109523175313738E-3</v>
      </c>
      <c r="E40" s="53"/>
    </row>
    <row r="41" spans="1:7" ht="15.75" customHeight="1" x14ac:dyDescent="0.3">
      <c r="C41" s="95">
        <v>1091.52</v>
      </c>
      <c r="D41" s="88">
        <f t="shared" si="0"/>
        <v>-1.4413320300771923E-2</v>
      </c>
      <c r="E41" s="53"/>
    </row>
    <row r="42" spans="1:7" ht="15.75" customHeight="1" x14ac:dyDescent="0.3">
      <c r="C42" s="95">
        <v>1089.46</v>
      </c>
      <c r="D42" s="88">
        <f t="shared" si="0"/>
        <v>-1.6273394839195734E-2</v>
      </c>
      <c r="E42" s="53"/>
    </row>
    <row r="43" spans="1:7" ht="16.5" customHeight="1" x14ac:dyDescent="0.3">
      <c r="C43" s="96">
        <v>1127.55</v>
      </c>
      <c r="D43" s="89">
        <f t="shared" si="0"/>
        <v>1.811992514554437E-2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22149.649999999994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1107.4824999999996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78">
        <f>C46</f>
        <v>1107.4824999999996</v>
      </c>
      <c r="C49" s="93">
        <f>-IF(C46&lt;=80,10%,IF(C46&lt;250,7.5%,5%))</f>
        <v>-0.05</v>
      </c>
      <c r="D49" s="81">
        <f>IF(C46&lt;=80,C46*0.9,IF(C46&lt;250,C46*0.925,C46*0.95))</f>
        <v>1052.1083749999996</v>
      </c>
    </row>
    <row r="50" spans="1:6" ht="17.25" customHeight="1" x14ac:dyDescent="0.3">
      <c r="B50" s="479"/>
      <c r="C50" s="94">
        <f>IF(C46&lt;=80, 10%, IF(C46&lt;250, 7.5%, 5%))</f>
        <v>0.05</v>
      </c>
      <c r="D50" s="81">
        <f>IF(C46&lt;=80, C46*1.1, IF(C46&lt;250, C46*1.075, C46*1.05))</f>
        <v>1162.8566249999997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4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4" zoomScale="60" zoomScaleNormal="40" zoomScalePageLayoutView="50" workbookViewId="0">
      <selection activeCell="F69" sqref="F6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6" t="s">
        <v>45</v>
      </c>
      <c r="B1" s="486"/>
      <c r="C1" s="486"/>
      <c r="D1" s="486"/>
      <c r="E1" s="486"/>
      <c r="F1" s="486"/>
      <c r="G1" s="486"/>
      <c r="H1" s="486"/>
      <c r="I1" s="486"/>
    </row>
    <row r="2" spans="1:9" ht="18.75" customHeight="1" x14ac:dyDescent="0.25">
      <c r="A2" s="486"/>
      <c r="B2" s="486"/>
      <c r="C2" s="486"/>
      <c r="D2" s="486"/>
      <c r="E2" s="486"/>
      <c r="F2" s="486"/>
      <c r="G2" s="486"/>
      <c r="H2" s="486"/>
      <c r="I2" s="486"/>
    </row>
    <row r="3" spans="1:9" ht="18.75" customHeight="1" x14ac:dyDescent="0.25">
      <c r="A3" s="486"/>
      <c r="B3" s="486"/>
      <c r="C3" s="486"/>
      <c r="D3" s="486"/>
      <c r="E3" s="486"/>
      <c r="F3" s="486"/>
      <c r="G3" s="486"/>
      <c r="H3" s="486"/>
      <c r="I3" s="486"/>
    </row>
    <row r="4" spans="1:9" ht="18.75" customHeight="1" x14ac:dyDescent="0.25">
      <c r="A4" s="486"/>
      <c r="B4" s="486"/>
      <c r="C4" s="486"/>
      <c r="D4" s="486"/>
      <c r="E4" s="486"/>
      <c r="F4" s="486"/>
      <c r="G4" s="486"/>
      <c r="H4" s="486"/>
      <c r="I4" s="486"/>
    </row>
    <row r="5" spans="1:9" ht="18.75" customHeight="1" x14ac:dyDescent="0.25">
      <c r="A5" s="486"/>
      <c r="B5" s="486"/>
      <c r="C5" s="486"/>
      <c r="D5" s="486"/>
      <c r="E5" s="486"/>
      <c r="F5" s="486"/>
      <c r="G5" s="486"/>
      <c r="H5" s="486"/>
      <c r="I5" s="486"/>
    </row>
    <row r="6" spans="1:9" ht="18.75" customHeight="1" x14ac:dyDescent="0.25">
      <c r="A6" s="486"/>
      <c r="B6" s="486"/>
      <c r="C6" s="486"/>
      <c r="D6" s="486"/>
      <c r="E6" s="486"/>
      <c r="F6" s="486"/>
      <c r="G6" s="486"/>
      <c r="H6" s="486"/>
      <c r="I6" s="486"/>
    </row>
    <row r="7" spans="1:9" ht="18.75" customHeight="1" x14ac:dyDescent="0.25">
      <c r="A7" s="486"/>
      <c r="B7" s="486"/>
      <c r="C7" s="486"/>
      <c r="D7" s="486"/>
      <c r="E7" s="486"/>
      <c r="F7" s="486"/>
      <c r="G7" s="486"/>
      <c r="H7" s="486"/>
      <c r="I7" s="486"/>
    </row>
    <row r="8" spans="1:9" x14ac:dyDescent="0.25">
      <c r="A8" s="487" t="s">
        <v>46</v>
      </c>
      <c r="B8" s="487"/>
      <c r="C8" s="487"/>
      <c r="D8" s="487"/>
      <c r="E8" s="487"/>
      <c r="F8" s="487"/>
      <c r="G8" s="487"/>
      <c r="H8" s="487"/>
      <c r="I8" s="487"/>
    </row>
    <row r="9" spans="1:9" x14ac:dyDescent="0.25">
      <c r="A9" s="487"/>
      <c r="B9" s="487"/>
      <c r="C9" s="487"/>
      <c r="D9" s="487"/>
      <c r="E9" s="487"/>
      <c r="F9" s="487"/>
      <c r="G9" s="487"/>
      <c r="H9" s="487"/>
      <c r="I9" s="487"/>
    </row>
    <row r="10" spans="1:9" x14ac:dyDescent="0.25">
      <c r="A10" s="487"/>
      <c r="B10" s="487"/>
      <c r="C10" s="487"/>
      <c r="D10" s="487"/>
      <c r="E10" s="487"/>
      <c r="F10" s="487"/>
      <c r="G10" s="487"/>
      <c r="H10" s="487"/>
      <c r="I10" s="487"/>
    </row>
    <row r="11" spans="1:9" x14ac:dyDescent="0.25">
      <c r="A11" s="487"/>
      <c r="B11" s="487"/>
      <c r="C11" s="487"/>
      <c r="D11" s="487"/>
      <c r="E11" s="487"/>
      <c r="F11" s="487"/>
      <c r="G11" s="487"/>
      <c r="H11" s="487"/>
      <c r="I11" s="487"/>
    </row>
    <row r="12" spans="1:9" x14ac:dyDescent="0.25">
      <c r="A12" s="487"/>
      <c r="B12" s="487"/>
      <c r="C12" s="487"/>
      <c r="D12" s="487"/>
      <c r="E12" s="487"/>
      <c r="F12" s="487"/>
      <c r="G12" s="487"/>
      <c r="H12" s="487"/>
      <c r="I12" s="487"/>
    </row>
    <row r="13" spans="1:9" x14ac:dyDescent="0.25">
      <c r="A13" s="487"/>
      <c r="B13" s="487"/>
      <c r="C13" s="487"/>
      <c r="D13" s="487"/>
      <c r="E13" s="487"/>
      <c r="F13" s="487"/>
      <c r="G13" s="487"/>
      <c r="H13" s="487"/>
      <c r="I13" s="487"/>
    </row>
    <row r="14" spans="1:9" x14ac:dyDescent="0.25">
      <c r="A14" s="487"/>
      <c r="B14" s="487"/>
      <c r="C14" s="487"/>
      <c r="D14" s="487"/>
      <c r="E14" s="487"/>
      <c r="F14" s="487"/>
      <c r="G14" s="487"/>
      <c r="H14" s="487"/>
      <c r="I14" s="487"/>
    </row>
    <row r="15" spans="1:9" ht="19.5" customHeight="1" x14ac:dyDescent="0.3">
      <c r="A15" s="98"/>
    </row>
    <row r="16" spans="1:9" ht="19.5" customHeight="1" x14ac:dyDescent="0.3">
      <c r="A16" s="519" t="s">
        <v>31</v>
      </c>
      <c r="B16" s="520"/>
      <c r="C16" s="520"/>
      <c r="D16" s="520"/>
      <c r="E16" s="520"/>
      <c r="F16" s="520"/>
      <c r="G16" s="520"/>
      <c r="H16" s="521"/>
    </row>
    <row r="17" spans="1:14" ht="20.25" customHeight="1" x14ac:dyDescent="0.25">
      <c r="A17" s="522" t="s">
        <v>47</v>
      </c>
      <c r="B17" s="522"/>
      <c r="C17" s="522"/>
      <c r="D17" s="522"/>
      <c r="E17" s="522"/>
      <c r="F17" s="522"/>
      <c r="G17" s="522"/>
      <c r="H17" s="522"/>
    </row>
    <row r="18" spans="1:14" ht="26.25" customHeight="1" x14ac:dyDescent="0.4">
      <c r="A18" s="100" t="s">
        <v>33</v>
      </c>
      <c r="B18" s="518" t="s">
        <v>5</v>
      </c>
      <c r="C18" s="518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23" t="s">
        <v>132</v>
      </c>
      <c r="C20" s="523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23" t="s">
        <v>11</v>
      </c>
      <c r="C21" s="523"/>
      <c r="D21" s="523"/>
      <c r="E21" s="523"/>
      <c r="F21" s="523"/>
      <c r="G21" s="523"/>
      <c r="H21" s="523"/>
      <c r="I21" s="104"/>
    </row>
    <row r="22" spans="1:14" ht="26.25" customHeight="1" x14ac:dyDescent="0.4">
      <c r="A22" s="100" t="s">
        <v>37</v>
      </c>
      <c r="B22" s="105">
        <v>42985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43010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18" t="s">
        <v>132</v>
      </c>
      <c r="C26" s="518"/>
    </row>
    <row r="27" spans="1:14" ht="26.25" customHeight="1" x14ac:dyDescent="0.4">
      <c r="A27" s="109" t="s">
        <v>48</v>
      </c>
      <c r="B27" s="524" t="s">
        <v>131</v>
      </c>
      <c r="C27" s="524"/>
    </row>
    <row r="28" spans="1:14" ht="27" customHeight="1" x14ac:dyDescent="0.4">
      <c r="A28" s="109" t="s">
        <v>6</v>
      </c>
      <c r="B28" s="110">
        <v>99.54</v>
      </c>
    </row>
    <row r="29" spans="1:14" s="14" customFormat="1" ht="27" customHeight="1" x14ac:dyDescent="0.4">
      <c r="A29" s="109" t="s">
        <v>49</v>
      </c>
      <c r="B29" s="111">
        <v>0</v>
      </c>
      <c r="C29" s="494" t="s">
        <v>50</v>
      </c>
      <c r="D29" s="495"/>
      <c r="E29" s="495"/>
      <c r="F29" s="495"/>
      <c r="G29" s="496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99.54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97" t="s">
        <v>53</v>
      </c>
      <c r="D31" s="498"/>
      <c r="E31" s="498"/>
      <c r="F31" s="498"/>
      <c r="G31" s="498"/>
      <c r="H31" s="499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97" t="s">
        <v>55</v>
      </c>
      <c r="D32" s="498"/>
      <c r="E32" s="498"/>
      <c r="F32" s="498"/>
      <c r="G32" s="498"/>
      <c r="H32" s="499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500" t="s">
        <v>59</v>
      </c>
      <c r="E36" s="525"/>
      <c r="F36" s="500" t="s">
        <v>60</v>
      </c>
      <c r="G36" s="501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11537650</v>
      </c>
      <c r="E38" s="133">
        <f>IF(ISBLANK(D38),"-",$D$48/$D$45*D38)</f>
        <v>11857768.240299236</v>
      </c>
      <c r="F38" s="132">
        <v>13251908</v>
      </c>
      <c r="G38" s="134">
        <f>IF(ISBLANK(F38),"-",$D$48/$F$45*F38)</f>
        <v>11781547.330107875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11626860</v>
      </c>
      <c r="E39" s="138">
        <f>IF(ISBLANK(D39),"-",$D$48/$D$45*D39)</f>
        <v>11949453.419232301</v>
      </c>
      <c r="F39" s="137">
        <v>13213208</v>
      </c>
      <c r="G39" s="139">
        <f>IF(ISBLANK(F39),"-",$D$48/$F$45*F39)</f>
        <v>11747141.274642114</v>
      </c>
      <c r="I39" s="502">
        <f>ABS((F43/D43*D42)-F42)/D42</f>
        <v>1.199096461417007E-2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11476779</v>
      </c>
      <c r="E40" s="138">
        <f>IF(ISBLANK(D40),"-",$D$48/$D$45*D40)</f>
        <v>11795208.342004934</v>
      </c>
      <c r="F40" s="137">
        <v>13165186</v>
      </c>
      <c r="G40" s="139">
        <f>IF(ISBLANK(F40),"-",$D$48/$F$45*F40)</f>
        <v>11704447.5383223</v>
      </c>
      <c r="I40" s="502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11547096.333333334</v>
      </c>
      <c r="E42" s="148">
        <f>AVERAGE(E38:E41)</f>
        <v>11867476.667178825</v>
      </c>
      <c r="F42" s="147">
        <f>AVERAGE(F38:F41)</f>
        <v>13210100.666666666</v>
      </c>
      <c r="G42" s="149">
        <f>AVERAGE(G38:G41)</f>
        <v>11744378.71435743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11.73</v>
      </c>
      <c r="E43" s="140"/>
      <c r="F43" s="152">
        <v>13.56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11.73</v>
      </c>
      <c r="E44" s="155"/>
      <c r="F44" s="154">
        <f>F43*$B$34</f>
        <v>13.56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11.676042000000002</v>
      </c>
      <c r="E45" s="158"/>
      <c r="F45" s="157">
        <f>F44*$B$30/100</f>
        <v>13.497624</v>
      </c>
      <c r="H45" s="150"/>
    </row>
    <row r="46" spans="1:14" ht="19.5" customHeight="1" x14ac:dyDescent="0.3">
      <c r="A46" s="488" t="s">
        <v>78</v>
      </c>
      <c r="B46" s="489"/>
      <c r="C46" s="153" t="s">
        <v>79</v>
      </c>
      <c r="D46" s="159">
        <f>D45/$B$45</f>
        <v>0.11676042000000003</v>
      </c>
      <c r="E46" s="160"/>
      <c r="F46" s="161">
        <f>F45/$B$45</f>
        <v>0.13497624</v>
      </c>
      <c r="H46" s="150"/>
    </row>
    <row r="47" spans="1:14" ht="27" customHeight="1" x14ac:dyDescent="0.4">
      <c r="A47" s="490"/>
      <c r="B47" s="491"/>
      <c r="C47" s="162" t="s">
        <v>80</v>
      </c>
      <c r="D47" s="163">
        <v>0.12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12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12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11805927.690768128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7.3599681117885877E-3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 xml:space="preserve">Each film coated tablet contains Tenofovir Disoproxil Fumarate 300mg equivalent to Tenofovir Disoproxil Fumarate  245 mg and Lamivudine 300mg </v>
      </c>
    </row>
    <row r="56" spans="1:12" ht="26.25" customHeight="1" x14ac:dyDescent="0.4">
      <c r="A56" s="177" t="s">
        <v>87</v>
      </c>
      <c r="B56" s="178">
        <v>300</v>
      </c>
      <c r="C56" s="99" t="str">
        <f>B20</f>
        <v>Tenofovir Disoproxil Fumarate</v>
      </c>
      <c r="H56" s="179"/>
    </row>
    <row r="57" spans="1:12" ht="18.75" x14ac:dyDescent="0.3">
      <c r="A57" s="176" t="s">
        <v>88</v>
      </c>
      <c r="B57" s="247">
        <f>Uniformity!C46</f>
        <v>1107.4824999999996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505" t="s">
        <v>94</v>
      </c>
      <c r="D60" s="508">
        <v>1104.4100000000001</v>
      </c>
      <c r="E60" s="182">
        <v>1</v>
      </c>
      <c r="F60" s="183">
        <v>11568759</v>
      </c>
      <c r="G60" s="248">
        <f>IF(ISBLANK(F60),"-",(F60/$D$50*$D$47*$B$68)*($B$57/$D$60))</f>
        <v>294.79115712313489</v>
      </c>
      <c r="H60" s="266">
        <f t="shared" ref="H60:H71" si="0">IF(ISBLANK(F60),"-",(G60/$B$56)*100)</f>
        <v>98.263719041044965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506"/>
      <c r="D61" s="509"/>
      <c r="E61" s="184">
        <v>2</v>
      </c>
      <c r="F61" s="137">
        <v>11600019</v>
      </c>
      <c r="G61" s="249">
        <f>IF(ISBLANK(F61),"-",(F61/$D$50*$D$47*$B$68)*($B$57/$D$60))</f>
        <v>295.58771374357008</v>
      </c>
      <c r="H61" s="267">
        <f t="shared" si="0"/>
        <v>98.529237914523364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06"/>
      <c r="D62" s="509"/>
      <c r="E62" s="184">
        <v>3</v>
      </c>
      <c r="F62" s="185">
        <v>11701387</v>
      </c>
      <c r="G62" s="249">
        <f>IF(ISBLANK(F62),"-",(F62/$D$50*$D$47*$B$68)*($B$57/$D$60))</f>
        <v>298.1707384236812</v>
      </c>
      <c r="H62" s="267">
        <f t="shared" si="0"/>
        <v>99.390246141227067</v>
      </c>
      <c r="L62" s="112"/>
    </row>
    <row r="63" spans="1:12" ht="27" customHeight="1" x14ac:dyDescent="0.4">
      <c r="A63" s="124" t="s">
        <v>97</v>
      </c>
      <c r="B63" s="125">
        <v>1</v>
      </c>
      <c r="C63" s="515"/>
      <c r="D63" s="510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05" t="s">
        <v>99</v>
      </c>
      <c r="D64" s="508">
        <v>1110.51</v>
      </c>
      <c r="E64" s="182">
        <v>1</v>
      </c>
      <c r="F64" s="183">
        <v>11583585</v>
      </c>
      <c r="G64" s="248">
        <f>IF(ISBLANK(F64),"-",(F64/$D$50*$D$47*$B$68)*($B$57/$D$64))</f>
        <v>293.54759350215062</v>
      </c>
      <c r="H64" s="266">
        <f t="shared" si="0"/>
        <v>97.849197834050202</v>
      </c>
    </row>
    <row r="65" spans="1:8" ht="26.25" customHeight="1" x14ac:dyDescent="0.4">
      <c r="A65" s="124" t="s">
        <v>100</v>
      </c>
      <c r="B65" s="125">
        <v>1</v>
      </c>
      <c r="C65" s="506"/>
      <c r="D65" s="509"/>
      <c r="E65" s="184">
        <v>2</v>
      </c>
      <c r="F65" s="137">
        <v>11457759</v>
      </c>
      <c r="G65" s="249">
        <f>IF(ISBLANK(F65),"-",(F65/$D$50*$D$47*$B$68)*($B$57/$D$64))</f>
        <v>290.35895030576529</v>
      </c>
      <c r="H65" s="267">
        <f t="shared" si="0"/>
        <v>96.786316768588435</v>
      </c>
    </row>
    <row r="66" spans="1:8" ht="26.25" customHeight="1" x14ac:dyDescent="0.4">
      <c r="A66" s="124" t="s">
        <v>101</v>
      </c>
      <c r="B66" s="125">
        <v>1</v>
      </c>
      <c r="C66" s="506"/>
      <c r="D66" s="509"/>
      <c r="E66" s="184">
        <v>3</v>
      </c>
      <c r="F66" s="137">
        <v>11502277</v>
      </c>
      <c r="G66" s="249">
        <f>IF(ISBLANK(F66),"-",(F66/$D$50*$D$47*$B$68)*($B$57/$D$64))</f>
        <v>291.48711155873906</v>
      </c>
      <c r="H66" s="267">
        <f t="shared" si="0"/>
        <v>97.162370519579682</v>
      </c>
    </row>
    <row r="67" spans="1:8" ht="27" customHeight="1" x14ac:dyDescent="0.4">
      <c r="A67" s="124" t="s">
        <v>102</v>
      </c>
      <c r="B67" s="125">
        <v>1</v>
      </c>
      <c r="C67" s="515"/>
      <c r="D67" s="510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2500</v>
      </c>
      <c r="C68" s="505" t="s">
        <v>104</v>
      </c>
      <c r="D68" s="508">
        <v>1109.5999999999999</v>
      </c>
      <c r="E68" s="182">
        <v>1</v>
      </c>
      <c r="F68" s="183">
        <v>11631989</v>
      </c>
      <c r="G68" s="248">
        <f>IF(ISBLANK(F68),"-",(F68/$D$50*$D$47*$B$68)*($B$57/$D$68))</f>
        <v>295.01598142845313</v>
      </c>
      <c r="H68" s="267">
        <f t="shared" si="0"/>
        <v>98.338660476151034</v>
      </c>
    </row>
    <row r="69" spans="1:8" ht="27" customHeight="1" x14ac:dyDescent="0.4">
      <c r="A69" s="172" t="s">
        <v>105</v>
      </c>
      <c r="B69" s="189">
        <f>(D47*B68)/B56*B57</f>
        <v>1107.4824999999996</v>
      </c>
      <c r="C69" s="506"/>
      <c r="D69" s="509"/>
      <c r="E69" s="184">
        <v>2</v>
      </c>
      <c r="F69" s="137"/>
      <c r="G69" s="249" t="str">
        <f>IF(ISBLANK(F69),"-",(F69/$D$50*$D$47*$B$68)*($B$57/$D$68))</f>
        <v>-</v>
      </c>
      <c r="H69" s="267" t="str">
        <f t="shared" si="0"/>
        <v>-</v>
      </c>
    </row>
    <row r="70" spans="1:8" ht="26.25" customHeight="1" x14ac:dyDescent="0.4">
      <c r="A70" s="511" t="s">
        <v>78</v>
      </c>
      <c r="B70" s="512"/>
      <c r="C70" s="506"/>
      <c r="D70" s="509"/>
      <c r="E70" s="184">
        <v>3</v>
      </c>
      <c r="F70" s="137"/>
      <c r="G70" s="249" t="str">
        <f>IF(ISBLANK(F70),"-",(F70/$D$50*$D$47*$B$68)*($B$57/$D$68))</f>
        <v>-</v>
      </c>
      <c r="H70" s="267" t="str">
        <f t="shared" si="0"/>
        <v>-</v>
      </c>
    </row>
    <row r="71" spans="1:8" ht="27" customHeight="1" x14ac:dyDescent="0.4">
      <c r="A71" s="513"/>
      <c r="B71" s="514"/>
      <c r="C71" s="507"/>
      <c r="D71" s="510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294.13703515507058</v>
      </c>
      <c r="H72" s="269">
        <f>AVERAGE(H60:H71)</f>
        <v>98.045678385023535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8.9109496856174131E-3</v>
      </c>
      <c r="H73" s="253">
        <f>STDEV(H60:H71)/H72</f>
        <v>8.9109496856174079E-3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7</v>
      </c>
      <c r="H74" s="196">
        <f>COUNT(H60:H71)</f>
        <v>7</v>
      </c>
    </row>
    <row r="76" spans="1:8" ht="26.25" customHeight="1" x14ac:dyDescent="0.4">
      <c r="A76" s="108" t="s">
        <v>106</v>
      </c>
      <c r="B76" s="197" t="s">
        <v>107</v>
      </c>
      <c r="C76" s="492" t="str">
        <f>B26</f>
        <v>Tenofovir Disoproxil Fumarate</v>
      </c>
      <c r="D76" s="492"/>
      <c r="E76" s="198" t="s">
        <v>108</v>
      </c>
      <c r="F76" s="198"/>
      <c r="G76" s="285">
        <f>H72</f>
        <v>98.045678385023535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26" t="str">
        <f>B26</f>
        <v>Tenofovir Disoproxil Fumarate</v>
      </c>
      <c r="C79" s="526"/>
    </row>
    <row r="80" spans="1:8" ht="26.25" customHeight="1" x14ac:dyDescent="0.4">
      <c r="A80" s="109" t="s">
        <v>48</v>
      </c>
      <c r="B80" s="526" t="str">
        <f>B27</f>
        <v>T11-10</v>
      </c>
      <c r="C80" s="526"/>
    </row>
    <row r="81" spans="1:12" ht="27" customHeight="1" x14ac:dyDescent="0.4">
      <c r="A81" s="109" t="s">
        <v>6</v>
      </c>
      <c r="B81" s="201">
        <f>B28</f>
        <v>99.54</v>
      </c>
    </row>
    <row r="82" spans="1:12" s="14" customFormat="1" ht="27" customHeight="1" x14ac:dyDescent="0.4">
      <c r="A82" s="109" t="s">
        <v>49</v>
      </c>
      <c r="B82" s="111">
        <v>0</v>
      </c>
      <c r="C82" s="494" t="s">
        <v>50</v>
      </c>
      <c r="D82" s="495"/>
      <c r="E82" s="495"/>
      <c r="F82" s="495"/>
      <c r="G82" s="496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99.54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97" t="s">
        <v>111</v>
      </c>
      <c r="D84" s="498"/>
      <c r="E84" s="498"/>
      <c r="F84" s="498"/>
      <c r="G84" s="498"/>
      <c r="H84" s="499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97" t="s">
        <v>112</v>
      </c>
      <c r="D85" s="498"/>
      <c r="E85" s="498"/>
      <c r="F85" s="498"/>
      <c r="G85" s="498"/>
      <c r="H85" s="499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500" t="s">
        <v>60</v>
      </c>
      <c r="G89" s="501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>
        <v>3836260</v>
      </c>
      <c r="E91" s="133">
        <f>IF(ISBLANK(D91),"-",$D$101/$D$98*D91)</f>
        <v>3715284.3956234665</v>
      </c>
      <c r="F91" s="132">
        <v>3571211</v>
      </c>
      <c r="G91" s="134">
        <f>IF(ISBLANK(F91),"-",$D$101/$F$98*F91)</f>
        <v>3747612.6253188057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3830760</v>
      </c>
      <c r="E92" s="138">
        <f>IF(ISBLANK(D92),"-",$D$101/$D$98*D92)</f>
        <v>3709957.8368980596</v>
      </c>
      <c r="F92" s="137">
        <v>3572406</v>
      </c>
      <c r="G92" s="139">
        <f>IF(ISBLANK(F92),"-",$D$101/$F$98*F92)</f>
        <v>3748866.6528985975</v>
      </c>
      <c r="I92" s="502">
        <f>ABS((F96/D96*D95)-F95)/D95</f>
        <v>9.3588984561394188E-3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3827872</v>
      </c>
      <c r="E93" s="138">
        <f>IF(ISBLANK(D93),"-",$D$101/$D$98*D93)</f>
        <v>3707160.9093346098</v>
      </c>
      <c r="F93" s="137">
        <v>3572359</v>
      </c>
      <c r="G93" s="139">
        <f>IF(ISBLANK(F93),"-",$D$101/$F$98*F93)</f>
        <v>3748817.3313117777</v>
      </c>
      <c r="I93" s="502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3831630.6666666665</v>
      </c>
      <c r="E95" s="148">
        <f>AVERAGE(E91:E94)</f>
        <v>3710801.0472853784</v>
      </c>
      <c r="F95" s="211">
        <f>AVERAGE(F91:F94)</f>
        <v>3571992</v>
      </c>
      <c r="G95" s="212">
        <f>AVERAGE(G91:G94)</f>
        <v>3748432.2031763936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15.56</v>
      </c>
      <c r="E96" s="140"/>
      <c r="F96" s="152">
        <v>14.36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15.56</v>
      </c>
      <c r="E97" s="155"/>
      <c r="F97" s="154">
        <f>F96*$B$87</f>
        <v>14.36</v>
      </c>
    </row>
    <row r="98" spans="1:10" ht="19.5" customHeight="1" x14ac:dyDescent="0.3">
      <c r="A98" s="124" t="s">
        <v>76</v>
      </c>
      <c r="B98" s="217">
        <f>(B97/B96)*(B95/B94)*(B93/B92)*(B91/B90)*B89</f>
        <v>50</v>
      </c>
      <c r="C98" s="215" t="s">
        <v>115</v>
      </c>
      <c r="D98" s="218">
        <f>D97*$B$83/100</f>
        <v>15.488424000000002</v>
      </c>
      <c r="E98" s="158"/>
      <c r="F98" s="157">
        <f>F97*$B$83/100</f>
        <v>14.293944000000002</v>
      </c>
    </row>
    <row r="99" spans="1:10" ht="19.5" customHeight="1" x14ac:dyDescent="0.3">
      <c r="A99" s="488" t="s">
        <v>78</v>
      </c>
      <c r="B99" s="503"/>
      <c r="C99" s="215" t="s">
        <v>116</v>
      </c>
      <c r="D99" s="219">
        <f>D98/$B$98</f>
        <v>0.30976848000000001</v>
      </c>
      <c r="E99" s="158"/>
      <c r="F99" s="161">
        <f>F98/$B$98</f>
        <v>0.28587888000000006</v>
      </c>
      <c r="G99" s="220"/>
      <c r="H99" s="150"/>
    </row>
    <row r="100" spans="1:10" ht="19.5" customHeight="1" x14ac:dyDescent="0.3">
      <c r="A100" s="490"/>
      <c r="B100" s="504"/>
      <c r="C100" s="215" t="s">
        <v>80</v>
      </c>
      <c r="D100" s="221">
        <f>$B$56/$B$116</f>
        <v>0.3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15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15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3729616.625230886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5.5718564697541445E-3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1000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3754286</v>
      </c>
      <c r="E108" s="250">
        <f t="shared" ref="E108:E113" si="1">IF(ISBLANK(D108),"-",D108/$D$103*$D$100*$B$116)</f>
        <v>301.98433597187113</v>
      </c>
      <c r="F108" s="277">
        <f t="shared" ref="F108:F113" si="2">IF(ISBLANK(D108), "-", (E108/$B$56)*100)</f>
        <v>100.66144532395704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3785362</v>
      </c>
      <c r="E109" s="251">
        <f t="shared" si="1"/>
        <v>304.48400307892206</v>
      </c>
      <c r="F109" s="278">
        <f t="shared" si="2"/>
        <v>101.49466769297402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3635882</v>
      </c>
      <c r="E110" s="251">
        <f t="shared" si="1"/>
        <v>292.46024715274189</v>
      </c>
      <c r="F110" s="278">
        <f t="shared" si="2"/>
        <v>97.486749050913957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3721216</v>
      </c>
      <c r="E111" s="251">
        <f t="shared" si="1"/>
        <v>299.32427704439732</v>
      </c>
      <c r="F111" s="278">
        <f t="shared" si="2"/>
        <v>99.774759014799102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3658622</v>
      </c>
      <c r="E112" s="251">
        <f t="shared" si="1"/>
        <v>294.28938957822584</v>
      </c>
      <c r="F112" s="278">
        <f t="shared" si="2"/>
        <v>98.09646319274195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3671900</v>
      </c>
      <c r="E113" s="252">
        <f t="shared" si="1"/>
        <v>295.35743501030913</v>
      </c>
      <c r="F113" s="279">
        <f t="shared" si="2"/>
        <v>98.452478336769715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297.98328130607791</v>
      </c>
      <c r="F115" s="281">
        <f>AVERAGE(F108:F113)</f>
        <v>99.327760435359281</v>
      </c>
    </row>
    <row r="116" spans="1:10" ht="27" customHeight="1" x14ac:dyDescent="0.4">
      <c r="A116" s="124" t="s">
        <v>103</v>
      </c>
      <c r="B116" s="156">
        <f>(B115/B114)*(B113/B112)*(B111/B110)*(B109/B108)*B107</f>
        <v>1000</v>
      </c>
      <c r="C116" s="234"/>
      <c r="D116" s="258" t="s">
        <v>84</v>
      </c>
      <c r="E116" s="256">
        <f>STDEV(E108:E113)/E115</f>
        <v>1.5819745164716067E-2</v>
      </c>
      <c r="F116" s="235">
        <f>STDEV(F108:F113)/F115</f>
        <v>1.5819745164716056E-2</v>
      </c>
      <c r="I116" s="98"/>
    </row>
    <row r="117" spans="1:10" ht="27" customHeight="1" x14ac:dyDescent="0.4">
      <c r="A117" s="488" t="s">
        <v>78</v>
      </c>
      <c r="B117" s="489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490"/>
      <c r="B118" s="491"/>
      <c r="C118" s="98"/>
      <c r="D118" s="260"/>
      <c r="E118" s="516" t="s">
        <v>123</v>
      </c>
      <c r="F118" s="517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292.46024715274189</v>
      </c>
      <c r="F119" s="282">
        <f>MIN(F108:F113)</f>
        <v>97.486749050913957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304.48400307892206</v>
      </c>
      <c r="F120" s="283">
        <f>MAX(F108:F113)</f>
        <v>101.49466769297402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492" t="str">
        <f>B26</f>
        <v>Tenofovir Disoproxil Fumarate</v>
      </c>
      <c r="D124" s="492"/>
      <c r="E124" s="198" t="s">
        <v>127</v>
      </c>
      <c r="F124" s="198"/>
      <c r="G124" s="284">
        <f>F115</f>
        <v>99.327760435359281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97.486749050913957</v>
      </c>
      <c r="E125" s="209" t="s">
        <v>130</v>
      </c>
      <c r="F125" s="284">
        <f>MAX(F108:F113)</f>
        <v>101.49466769297402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493" t="s">
        <v>26</v>
      </c>
      <c r="C127" s="493"/>
      <c r="E127" s="204" t="s">
        <v>27</v>
      </c>
      <c r="F127" s="239"/>
      <c r="G127" s="493" t="s">
        <v>28</v>
      </c>
      <c r="H127" s="493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79" zoomScale="60" zoomScaleNormal="40" zoomScalePageLayoutView="50" workbookViewId="0">
      <selection activeCell="F70" sqref="F7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6" t="s">
        <v>45</v>
      </c>
      <c r="B1" s="486"/>
      <c r="C1" s="486"/>
      <c r="D1" s="486"/>
      <c r="E1" s="486"/>
      <c r="F1" s="486"/>
      <c r="G1" s="486"/>
      <c r="H1" s="486"/>
      <c r="I1" s="486"/>
    </row>
    <row r="2" spans="1:9" ht="18.75" customHeight="1" x14ac:dyDescent="0.25">
      <c r="A2" s="486"/>
      <c r="B2" s="486"/>
      <c r="C2" s="486"/>
      <c r="D2" s="486"/>
      <c r="E2" s="486"/>
      <c r="F2" s="486"/>
      <c r="G2" s="486"/>
      <c r="H2" s="486"/>
      <c r="I2" s="486"/>
    </row>
    <row r="3" spans="1:9" ht="18.75" customHeight="1" x14ac:dyDescent="0.25">
      <c r="A3" s="486"/>
      <c r="B3" s="486"/>
      <c r="C3" s="486"/>
      <c r="D3" s="486"/>
      <c r="E3" s="486"/>
      <c r="F3" s="486"/>
      <c r="G3" s="486"/>
      <c r="H3" s="486"/>
      <c r="I3" s="486"/>
    </row>
    <row r="4" spans="1:9" ht="18.75" customHeight="1" x14ac:dyDescent="0.25">
      <c r="A4" s="486"/>
      <c r="B4" s="486"/>
      <c r="C4" s="486"/>
      <c r="D4" s="486"/>
      <c r="E4" s="486"/>
      <c r="F4" s="486"/>
      <c r="G4" s="486"/>
      <c r="H4" s="486"/>
      <c r="I4" s="486"/>
    </row>
    <row r="5" spans="1:9" ht="18.75" customHeight="1" x14ac:dyDescent="0.25">
      <c r="A5" s="486"/>
      <c r="B5" s="486"/>
      <c r="C5" s="486"/>
      <c r="D5" s="486"/>
      <c r="E5" s="486"/>
      <c r="F5" s="486"/>
      <c r="G5" s="486"/>
      <c r="H5" s="486"/>
      <c r="I5" s="486"/>
    </row>
    <row r="6" spans="1:9" ht="18.75" customHeight="1" x14ac:dyDescent="0.25">
      <c r="A6" s="486"/>
      <c r="B6" s="486"/>
      <c r="C6" s="486"/>
      <c r="D6" s="486"/>
      <c r="E6" s="486"/>
      <c r="F6" s="486"/>
      <c r="G6" s="486"/>
      <c r="H6" s="486"/>
      <c r="I6" s="486"/>
    </row>
    <row r="7" spans="1:9" ht="18.75" customHeight="1" x14ac:dyDescent="0.25">
      <c r="A7" s="486"/>
      <c r="B7" s="486"/>
      <c r="C7" s="486"/>
      <c r="D7" s="486"/>
      <c r="E7" s="486"/>
      <c r="F7" s="486"/>
      <c r="G7" s="486"/>
      <c r="H7" s="486"/>
      <c r="I7" s="486"/>
    </row>
    <row r="8" spans="1:9" x14ac:dyDescent="0.25">
      <c r="A8" s="487" t="s">
        <v>46</v>
      </c>
      <c r="B8" s="487"/>
      <c r="C8" s="487"/>
      <c r="D8" s="487"/>
      <c r="E8" s="487"/>
      <c r="F8" s="487"/>
      <c r="G8" s="487"/>
      <c r="H8" s="487"/>
      <c r="I8" s="487"/>
    </row>
    <row r="9" spans="1:9" x14ac:dyDescent="0.25">
      <c r="A9" s="487"/>
      <c r="B9" s="487"/>
      <c r="C9" s="487"/>
      <c r="D9" s="487"/>
      <c r="E9" s="487"/>
      <c r="F9" s="487"/>
      <c r="G9" s="487"/>
      <c r="H9" s="487"/>
      <c r="I9" s="487"/>
    </row>
    <row r="10" spans="1:9" x14ac:dyDescent="0.25">
      <c r="A10" s="487"/>
      <c r="B10" s="487"/>
      <c r="C10" s="487"/>
      <c r="D10" s="487"/>
      <c r="E10" s="487"/>
      <c r="F10" s="487"/>
      <c r="G10" s="487"/>
      <c r="H10" s="487"/>
      <c r="I10" s="487"/>
    </row>
    <row r="11" spans="1:9" x14ac:dyDescent="0.25">
      <c r="A11" s="487"/>
      <c r="B11" s="487"/>
      <c r="C11" s="487"/>
      <c r="D11" s="487"/>
      <c r="E11" s="487"/>
      <c r="F11" s="487"/>
      <c r="G11" s="487"/>
      <c r="H11" s="487"/>
      <c r="I11" s="487"/>
    </row>
    <row r="12" spans="1:9" x14ac:dyDescent="0.25">
      <c r="A12" s="487"/>
      <c r="B12" s="487"/>
      <c r="C12" s="487"/>
      <c r="D12" s="487"/>
      <c r="E12" s="487"/>
      <c r="F12" s="487"/>
      <c r="G12" s="487"/>
      <c r="H12" s="487"/>
      <c r="I12" s="487"/>
    </row>
    <row r="13" spans="1:9" x14ac:dyDescent="0.25">
      <c r="A13" s="487"/>
      <c r="B13" s="487"/>
      <c r="C13" s="487"/>
      <c r="D13" s="487"/>
      <c r="E13" s="487"/>
      <c r="F13" s="487"/>
      <c r="G13" s="487"/>
      <c r="H13" s="487"/>
      <c r="I13" s="487"/>
    </row>
    <row r="14" spans="1:9" x14ac:dyDescent="0.25">
      <c r="A14" s="487"/>
      <c r="B14" s="487"/>
      <c r="C14" s="487"/>
      <c r="D14" s="487"/>
      <c r="E14" s="487"/>
      <c r="F14" s="487"/>
      <c r="G14" s="487"/>
      <c r="H14" s="487"/>
      <c r="I14" s="487"/>
    </row>
    <row r="15" spans="1:9" ht="19.5" customHeight="1" x14ac:dyDescent="0.3">
      <c r="A15" s="286"/>
    </row>
    <row r="16" spans="1:9" ht="19.5" customHeight="1" x14ac:dyDescent="0.3">
      <c r="A16" s="519" t="s">
        <v>31</v>
      </c>
      <c r="B16" s="520"/>
      <c r="C16" s="520"/>
      <c r="D16" s="520"/>
      <c r="E16" s="520"/>
      <c r="F16" s="520"/>
      <c r="G16" s="520"/>
      <c r="H16" s="521"/>
    </row>
    <row r="17" spans="1:14" ht="20.25" customHeight="1" x14ac:dyDescent="0.25">
      <c r="A17" s="522" t="s">
        <v>47</v>
      </c>
      <c r="B17" s="522"/>
      <c r="C17" s="522"/>
      <c r="D17" s="522"/>
      <c r="E17" s="522"/>
      <c r="F17" s="522"/>
      <c r="G17" s="522"/>
      <c r="H17" s="522"/>
    </row>
    <row r="18" spans="1:14" ht="26.25" customHeight="1" x14ac:dyDescent="0.4">
      <c r="A18" s="288" t="s">
        <v>33</v>
      </c>
      <c r="B18" s="518" t="s">
        <v>5</v>
      </c>
      <c r="C18" s="518"/>
      <c r="D18" s="434"/>
      <c r="E18" s="289"/>
      <c r="F18" s="290"/>
      <c r="G18" s="290"/>
      <c r="H18" s="290"/>
    </row>
    <row r="19" spans="1:14" ht="26.25" customHeight="1" x14ac:dyDescent="0.4">
      <c r="A19" s="288" t="s">
        <v>34</v>
      </c>
      <c r="B19" s="291" t="s">
        <v>7</v>
      </c>
      <c r="C19" s="443">
        <v>1</v>
      </c>
      <c r="D19" s="290"/>
      <c r="E19" s="290"/>
      <c r="F19" s="290"/>
      <c r="G19" s="290"/>
      <c r="H19" s="290"/>
    </row>
    <row r="20" spans="1:14" ht="26.25" customHeight="1" x14ac:dyDescent="0.4">
      <c r="A20" s="288" t="s">
        <v>35</v>
      </c>
      <c r="B20" s="523" t="s">
        <v>133</v>
      </c>
      <c r="C20" s="523"/>
      <c r="D20" s="290"/>
      <c r="E20" s="290"/>
      <c r="F20" s="290"/>
      <c r="G20" s="290"/>
      <c r="H20" s="290"/>
    </row>
    <row r="21" spans="1:14" ht="26.25" customHeight="1" x14ac:dyDescent="0.4">
      <c r="A21" s="288" t="s">
        <v>36</v>
      </c>
      <c r="B21" s="523" t="s">
        <v>11</v>
      </c>
      <c r="C21" s="523"/>
      <c r="D21" s="523"/>
      <c r="E21" s="523"/>
      <c r="F21" s="523"/>
      <c r="G21" s="523"/>
      <c r="H21" s="523"/>
      <c r="I21" s="292"/>
    </row>
    <row r="22" spans="1:14" ht="26.25" customHeight="1" x14ac:dyDescent="0.4">
      <c r="A22" s="288" t="s">
        <v>37</v>
      </c>
      <c r="B22" s="293">
        <v>42985</v>
      </c>
      <c r="C22" s="290"/>
      <c r="D22" s="290"/>
      <c r="E22" s="290"/>
      <c r="F22" s="290"/>
      <c r="G22" s="290"/>
      <c r="H22" s="290"/>
    </row>
    <row r="23" spans="1:14" ht="26.25" customHeight="1" x14ac:dyDescent="0.4">
      <c r="A23" s="288" t="s">
        <v>38</v>
      </c>
      <c r="B23" s="293">
        <v>43010</v>
      </c>
      <c r="C23" s="290"/>
      <c r="D23" s="290"/>
      <c r="E23" s="290"/>
      <c r="F23" s="290"/>
      <c r="G23" s="290"/>
      <c r="H23" s="290"/>
    </row>
    <row r="24" spans="1:14" ht="18.75" x14ac:dyDescent="0.3">
      <c r="A24" s="288"/>
      <c r="B24" s="294"/>
    </row>
    <row r="25" spans="1:14" ht="18.75" x14ac:dyDescent="0.3">
      <c r="A25" s="295" t="s">
        <v>1</v>
      </c>
      <c r="B25" s="294"/>
    </row>
    <row r="26" spans="1:14" ht="26.25" customHeight="1" x14ac:dyDescent="0.4">
      <c r="A26" s="296" t="s">
        <v>4</v>
      </c>
      <c r="B26" s="518" t="s">
        <v>133</v>
      </c>
      <c r="C26" s="518"/>
    </row>
    <row r="27" spans="1:14" ht="26.25" customHeight="1" x14ac:dyDescent="0.4">
      <c r="A27" s="297" t="s">
        <v>48</v>
      </c>
      <c r="B27" s="524" t="s">
        <v>134</v>
      </c>
      <c r="C27" s="524"/>
    </row>
    <row r="28" spans="1:14" ht="27" customHeight="1" x14ac:dyDescent="0.4">
      <c r="A28" s="297" t="s">
        <v>6</v>
      </c>
      <c r="B28" s="298">
        <v>99.39</v>
      </c>
    </row>
    <row r="29" spans="1:14" s="14" customFormat="1" ht="27" customHeight="1" x14ac:dyDescent="0.4">
      <c r="A29" s="297" t="s">
        <v>49</v>
      </c>
      <c r="B29" s="299">
        <v>0</v>
      </c>
      <c r="C29" s="494" t="s">
        <v>50</v>
      </c>
      <c r="D29" s="495"/>
      <c r="E29" s="495"/>
      <c r="F29" s="495"/>
      <c r="G29" s="496"/>
      <c r="I29" s="300"/>
      <c r="J29" s="300"/>
      <c r="K29" s="300"/>
      <c r="L29" s="300"/>
    </row>
    <row r="30" spans="1:14" s="14" customFormat="1" ht="19.5" customHeight="1" x14ac:dyDescent="0.3">
      <c r="A30" s="297" t="s">
        <v>51</v>
      </c>
      <c r="B30" s="301">
        <f>B28-B29</f>
        <v>99.39</v>
      </c>
      <c r="C30" s="302"/>
      <c r="D30" s="302"/>
      <c r="E30" s="302"/>
      <c r="F30" s="302"/>
      <c r="G30" s="303"/>
      <c r="I30" s="300"/>
      <c r="J30" s="300"/>
      <c r="K30" s="300"/>
      <c r="L30" s="300"/>
    </row>
    <row r="31" spans="1:14" s="14" customFormat="1" ht="27" customHeight="1" x14ac:dyDescent="0.4">
      <c r="A31" s="297" t="s">
        <v>52</v>
      </c>
      <c r="B31" s="304">
        <v>1</v>
      </c>
      <c r="C31" s="497" t="s">
        <v>53</v>
      </c>
      <c r="D31" s="498"/>
      <c r="E31" s="498"/>
      <c r="F31" s="498"/>
      <c r="G31" s="498"/>
      <c r="H31" s="499"/>
      <c r="I31" s="300"/>
      <c r="J31" s="300"/>
      <c r="K31" s="300"/>
      <c r="L31" s="300"/>
    </row>
    <row r="32" spans="1:14" s="14" customFormat="1" ht="27" customHeight="1" x14ac:dyDescent="0.4">
      <c r="A32" s="297" t="s">
        <v>54</v>
      </c>
      <c r="B32" s="304">
        <v>1</v>
      </c>
      <c r="C32" s="497" t="s">
        <v>55</v>
      </c>
      <c r="D32" s="498"/>
      <c r="E32" s="498"/>
      <c r="F32" s="498"/>
      <c r="G32" s="498"/>
      <c r="H32" s="499"/>
      <c r="I32" s="300"/>
      <c r="J32" s="300"/>
      <c r="K32" s="300"/>
      <c r="L32" s="305"/>
      <c r="M32" s="305"/>
      <c r="N32" s="306"/>
    </row>
    <row r="33" spans="1:14" s="14" customFormat="1" ht="17.25" customHeight="1" x14ac:dyDescent="0.3">
      <c r="A33" s="297"/>
      <c r="B33" s="307"/>
      <c r="C33" s="308"/>
      <c r="D33" s="308"/>
      <c r="E33" s="308"/>
      <c r="F33" s="308"/>
      <c r="G33" s="308"/>
      <c r="H33" s="308"/>
      <c r="I33" s="300"/>
      <c r="J33" s="300"/>
      <c r="K33" s="300"/>
      <c r="L33" s="305"/>
      <c r="M33" s="305"/>
      <c r="N33" s="306"/>
    </row>
    <row r="34" spans="1:14" s="14" customFormat="1" ht="18.75" x14ac:dyDescent="0.3">
      <c r="A34" s="297" t="s">
        <v>56</v>
      </c>
      <c r="B34" s="309">
        <f>B31/B32</f>
        <v>1</v>
      </c>
      <c r="C34" s="287" t="s">
        <v>57</v>
      </c>
      <c r="D34" s="287"/>
      <c r="E34" s="287"/>
      <c r="F34" s="287"/>
      <c r="G34" s="287"/>
      <c r="I34" s="300"/>
      <c r="J34" s="300"/>
      <c r="K34" s="300"/>
      <c r="L34" s="305"/>
      <c r="M34" s="305"/>
      <c r="N34" s="306"/>
    </row>
    <row r="35" spans="1:14" s="14" customFormat="1" ht="19.5" customHeight="1" x14ac:dyDescent="0.3">
      <c r="A35" s="297"/>
      <c r="B35" s="301"/>
      <c r="G35" s="287"/>
      <c r="I35" s="300"/>
      <c r="J35" s="300"/>
      <c r="K35" s="300"/>
      <c r="L35" s="305"/>
      <c r="M35" s="305"/>
      <c r="N35" s="306"/>
    </row>
    <row r="36" spans="1:14" s="14" customFormat="1" ht="27" customHeight="1" x14ac:dyDescent="0.4">
      <c r="A36" s="310" t="s">
        <v>58</v>
      </c>
      <c r="B36" s="311">
        <v>100</v>
      </c>
      <c r="C36" s="287"/>
      <c r="D36" s="500" t="s">
        <v>59</v>
      </c>
      <c r="E36" s="525"/>
      <c r="F36" s="500" t="s">
        <v>60</v>
      </c>
      <c r="G36" s="501"/>
      <c r="J36" s="300"/>
      <c r="K36" s="300"/>
      <c r="L36" s="305"/>
      <c r="M36" s="305"/>
      <c r="N36" s="306"/>
    </row>
    <row r="37" spans="1:14" s="14" customFormat="1" ht="27" customHeight="1" x14ac:dyDescent="0.4">
      <c r="A37" s="312" t="s">
        <v>61</v>
      </c>
      <c r="B37" s="313">
        <v>1</v>
      </c>
      <c r="C37" s="314" t="s">
        <v>62</v>
      </c>
      <c r="D37" s="315" t="s">
        <v>63</v>
      </c>
      <c r="E37" s="316" t="s">
        <v>64</v>
      </c>
      <c r="F37" s="315" t="s">
        <v>63</v>
      </c>
      <c r="G37" s="317" t="s">
        <v>64</v>
      </c>
      <c r="I37" s="318" t="s">
        <v>65</v>
      </c>
      <c r="J37" s="300"/>
      <c r="K37" s="300"/>
      <c r="L37" s="305"/>
      <c r="M37" s="305"/>
      <c r="N37" s="306"/>
    </row>
    <row r="38" spans="1:14" s="14" customFormat="1" ht="26.25" customHeight="1" x14ac:dyDescent="0.4">
      <c r="A38" s="312" t="s">
        <v>66</v>
      </c>
      <c r="B38" s="313">
        <v>1</v>
      </c>
      <c r="C38" s="319">
        <v>1</v>
      </c>
      <c r="D38" s="320">
        <v>22804750</v>
      </c>
      <c r="E38" s="321">
        <f>IF(ISBLANK(D38),"-",$D$48/$D$45*D38)</f>
        <v>23412972.191593211</v>
      </c>
      <c r="F38" s="320">
        <v>23294573</v>
      </c>
      <c r="G38" s="322">
        <f>IF(ISBLANK(F38),"-",$D$48/$F$45*F38)</f>
        <v>23167257.337302849</v>
      </c>
      <c r="I38" s="323"/>
      <c r="J38" s="300"/>
      <c r="K38" s="300"/>
      <c r="L38" s="305"/>
      <c r="M38" s="305"/>
      <c r="N38" s="306"/>
    </row>
    <row r="39" spans="1:14" s="14" customFormat="1" ht="26.25" customHeight="1" x14ac:dyDescent="0.4">
      <c r="A39" s="312" t="s">
        <v>67</v>
      </c>
      <c r="B39" s="313">
        <v>1</v>
      </c>
      <c r="C39" s="324">
        <v>2</v>
      </c>
      <c r="D39" s="325">
        <v>22867196</v>
      </c>
      <c r="E39" s="326">
        <f>IF(ISBLANK(D39),"-",$D$48/$D$45*D39)</f>
        <v>23477083.67983475</v>
      </c>
      <c r="F39" s="325">
        <v>23299796</v>
      </c>
      <c r="G39" s="327">
        <f>IF(ISBLANK(F39),"-",$D$48/$F$45*F39)</f>
        <v>23172451.791181557</v>
      </c>
      <c r="I39" s="502">
        <f>ABS((F43/D43*D42)-F42)/D42</f>
        <v>9.4272017174667801E-3</v>
      </c>
      <c r="J39" s="300"/>
      <c r="K39" s="300"/>
      <c r="L39" s="305"/>
      <c r="M39" s="305"/>
      <c r="N39" s="306"/>
    </row>
    <row r="40" spans="1:14" ht="26.25" customHeight="1" x14ac:dyDescent="0.4">
      <c r="A40" s="312" t="s">
        <v>68</v>
      </c>
      <c r="B40" s="313">
        <v>1</v>
      </c>
      <c r="C40" s="324">
        <v>3</v>
      </c>
      <c r="D40" s="325">
        <v>22586154</v>
      </c>
      <c r="E40" s="326">
        <f>IF(ISBLANK(D40),"-",$D$48/$D$45*D40)</f>
        <v>23188546.049267884</v>
      </c>
      <c r="F40" s="325">
        <v>23225867</v>
      </c>
      <c r="G40" s="327">
        <f>IF(ISBLANK(F40),"-",$D$48/$F$45*F40)</f>
        <v>23098926.847509507</v>
      </c>
      <c r="I40" s="502"/>
      <c r="L40" s="305"/>
      <c r="M40" s="305"/>
      <c r="N40" s="328"/>
    </row>
    <row r="41" spans="1:14" ht="27" customHeight="1" x14ac:dyDescent="0.4">
      <c r="A41" s="312" t="s">
        <v>69</v>
      </c>
      <c r="B41" s="313">
        <v>1</v>
      </c>
      <c r="C41" s="329">
        <v>4</v>
      </c>
      <c r="D41" s="330"/>
      <c r="E41" s="331" t="str">
        <f>IF(ISBLANK(D41),"-",$D$48/$D$45*D41)</f>
        <v>-</v>
      </c>
      <c r="F41" s="330"/>
      <c r="G41" s="332" t="str">
        <f>IF(ISBLANK(F41),"-",$D$48/$F$45*F41)</f>
        <v>-</v>
      </c>
      <c r="I41" s="333"/>
      <c r="L41" s="305"/>
      <c r="M41" s="305"/>
      <c r="N41" s="328"/>
    </row>
    <row r="42" spans="1:14" ht="27" customHeight="1" x14ac:dyDescent="0.4">
      <c r="A42" s="312" t="s">
        <v>70</v>
      </c>
      <c r="B42" s="313">
        <v>1</v>
      </c>
      <c r="C42" s="334" t="s">
        <v>71</v>
      </c>
      <c r="D42" s="335">
        <f>AVERAGE(D38:D41)</f>
        <v>22752700</v>
      </c>
      <c r="E42" s="336">
        <f>AVERAGE(E38:E41)</f>
        <v>23359533.97356528</v>
      </c>
      <c r="F42" s="335">
        <f>AVERAGE(F38:F41)</f>
        <v>23273412</v>
      </c>
      <c r="G42" s="337">
        <f>AVERAGE(G38:G41)</f>
        <v>23146211.991997972</v>
      </c>
      <c r="H42" s="338"/>
    </row>
    <row r="43" spans="1:14" ht="26.25" customHeight="1" x14ac:dyDescent="0.4">
      <c r="A43" s="312" t="s">
        <v>72</v>
      </c>
      <c r="B43" s="313">
        <v>1</v>
      </c>
      <c r="C43" s="339" t="s">
        <v>73</v>
      </c>
      <c r="D43" s="340">
        <v>11.76</v>
      </c>
      <c r="E43" s="328"/>
      <c r="F43" s="340">
        <v>12.14</v>
      </c>
      <c r="H43" s="338"/>
    </row>
    <row r="44" spans="1:14" ht="26.25" customHeight="1" x14ac:dyDescent="0.4">
      <c r="A44" s="312" t="s">
        <v>74</v>
      </c>
      <c r="B44" s="313">
        <v>1</v>
      </c>
      <c r="C44" s="341" t="s">
        <v>75</v>
      </c>
      <c r="D44" s="342">
        <f>D43*$B$34</f>
        <v>11.76</v>
      </c>
      <c r="E44" s="343"/>
      <c r="F44" s="342">
        <f>F43*$B$34</f>
        <v>12.14</v>
      </c>
      <c r="H44" s="338"/>
    </row>
    <row r="45" spans="1:14" ht="19.5" customHeight="1" x14ac:dyDescent="0.3">
      <c r="A45" s="312" t="s">
        <v>76</v>
      </c>
      <c r="B45" s="344">
        <f>(B44/B43)*(B42/B41)*(B40/B39)*(B38/B37)*B36</f>
        <v>100</v>
      </c>
      <c r="C45" s="341" t="s">
        <v>77</v>
      </c>
      <c r="D45" s="345">
        <f>D44*$B$30/100</f>
        <v>11.688263999999998</v>
      </c>
      <c r="E45" s="346"/>
      <c r="F45" s="345">
        <f>F44*$B$30/100</f>
        <v>12.065946000000002</v>
      </c>
      <c r="H45" s="338"/>
    </row>
    <row r="46" spans="1:14" ht="19.5" customHeight="1" x14ac:dyDescent="0.3">
      <c r="A46" s="488" t="s">
        <v>78</v>
      </c>
      <c r="B46" s="489"/>
      <c r="C46" s="341" t="s">
        <v>79</v>
      </c>
      <c r="D46" s="347">
        <f>D45/$B$45</f>
        <v>0.11688263999999998</v>
      </c>
      <c r="E46" s="348"/>
      <c r="F46" s="349">
        <f>F45/$B$45</f>
        <v>0.12065946000000002</v>
      </c>
      <c r="H46" s="338"/>
    </row>
    <row r="47" spans="1:14" ht="27" customHeight="1" x14ac:dyDescent="0.4">
      <c r="A47" s="490"/>
      <c r="B47" s="491"/>
      <c r="C47" s="350" t="s">
        <v>80</v>
      </c>
      <c r="D47" s="351">
        <v>0.12</v>
      </c>
      <c r="E47" s="352"/>
      <c r="F47" s="348"/>
      <c r="H47" s="338"/>
    </row>
    <row r="48" spans="1:14" ht="18.75" x14ac:dyDescent="0.3">
      <c r="C48" s="353" t="s">
        <v>81</v>
      </c>
      <c r="D48" s="345">
        <f>D47*$B$45</f>
        <v>12</v>
      </c>
      <c r="F48" s="354"/>
      <c r="H48" s="338"/>
    </row>
    <row r="49" spans="1:12" ht="19.5" customHeight="1" x14ac:dyDescent="0.3">
      <c r="C49" s="355" t="s">
        <v>82</v>
      </c>
      <c r="D49" s="356">
        <f>D48/B34</f>
        <v>12</v>
      </c>
      <c r="F49" s="354"/>
      <c r="H49" s="338"/>
    </row>
    <row r="50" spans="1:12" ht="18.75" x14ac:dyDescent="0.3">
      <c r="C50" s="310" t="s">
        <v>83</v>
      </c>
      <c r="D50" s="357">
        <f>AVERAGE(E38:E41,G38:G41)</f>
        <v>23252872.982781623</v>
      </c>
      <c r="F50" s="358"/>
      <c r="H50" s="338"/>
    </row>
    <row r="51" spans="1:12" ht="18.75" x14ac:dyDescent="0.3">
      <c r="C51" s="312" t="s">
        <v>84</v>
      </c>
      <c r="D51" s="359">
        <f>STDEV(E38:E41,G38:G41)/D50</f>
        <v>6.5936514811268153E-3</v>
      </c>
      <c r="F51" s="358"/>
      <c r="H51" s="338"/>
    </row>
    <row r="52" spans="1:12" ht="19.5" customHeight="1" x14ac:dyDescent="0.3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7" t="s">
        <v>86</v>
      </c>
      <c r="B55" s="364" t="str">
        <f>B21</f>
        <v xml:space="preserve">Each film coated tablet contains Tenofovir Disoproxil Fumarate 300mg equivalent to Tenofovir Disoproxil Fumarate  245 mg and Lamivudine 300mg </v>
      </c>
    </row>
    <row r="56" spans="1:12" ht="26.25" customHeight="1" x14ac:dyDescent="0.4">
      <c r="A56" s="365" t="s">
        <v>87</v>
      </c>
      <c r="B56" s="366">
        <v>300</v>
      </c>
      <c r="C56" s="287" t="str">
        <f>B20</f>
        <v xml:space="preserve">Lamivudine </v>
      </c>
      <c r="H56" s="367"/>
    </row>
    <row r="57" spans="1:12" ht="18.75" x14ac:dyDescent="0.3">
      <c r="A57" s="364" t="s">
        <v>88</v>
      </c>
      <c r="B57" s="435">
        <f>Uniformity!C46</f>
        <v>1107.4824999999996</v>
      </c>
      <c r="H57" s="367"/>
    </row>
    <row r="58" spans="1:12" ht="19.5" customHeight="1" x14ac:dyDescent="0.3">
      <c r="H58" s="367"/>
    </row>
    <row r="59" spans="1:12" s="14" customFormat="1" ht="27" customHeight="1" x14ac:dyDescent="0.4">
      <c r="A59" s="310" t="s">
        <v>89</v>
      </c>
      <c r="B59" s="311">
        <v>200</v>
      </c>
      <c r="C59" s="287"/>
      <c r="D59" s="368" t="s">
        <v>90</v>
      </c>
      <c r="E59" s="369" t="s">
        <v>62</v>
      </c>
      <c r="F59" s="369" t="s">
        <v>63</v>
      </c>
      <c r="G59" s="369" t="s">
        <v>91</v>
      </c>
      <c r="H59" s="314" t="s">
        <v>92</v>
      </c>
      <c r="L59" s="300"/>
    </row>
    <row r="60" spans="1:12" s="14" customFormat="1" ht="26.25" customHeight="1" x14ac:dyDescent="0.4">
      <c r="A60" s="312" t="s">
        <v>93</v>
      </c>
      <c r="B60" s="313">
        <v>4</v>
      </c>
      <c r="C60" s="505" t="s">
        <v>94</v>
      </c>
      <c r="D60" s="508">
        <v>1104.4100000000001</v>
      </c>
      <c r="E60" s="370">
        <v>1</v>
      </c>
      <c r="F60" s="371">
        <v>21349173</v>
      </c>
      <c r="G60" s="436">
        <f>IF(ISBLANK(F60),"-",(F60/$D$50*$D$47*$B$68)*($B$57/$D$60))</f>
        <v>276.20544379707979</v>
      </c>
      <c r="H60" s="454">
        <f t="shared" ref="H60:H71" si="0">IF(ISBLANK(F60),"-",(G60/$B$56)*100)</f>
        <v>92.068481265693265</v>
      </c>
      <c r="L60" s="300"/>
    </row>
    <row r="61" spans="1:12" s="14" customFormat="1" ht="26.25" customHeight="1" x14ac:dyDescent="0.4">
      <c r="A61" s="312" t="s">
        <v>95</v>
      </c>
      <c r="B61" s="313">
        <v>50</v>
      </c>
      <c r="C61" s="506"/>
      <c r="D61" s="509"/>
      <c r="E61" s="372">
        <v>2</v>
      </c>
      <c r="F61" s="325">
        <v>21343370</v>
      </c>
      <c r="G61" s="437">
        <f>IF(ISBLANK(F61),"-",(F61/$D$50*$D$47*$B$68)*($B$57/$D$60))</f>
        <v>276.13036734375049</v>
      </c>
      <c r="H61" s="455">
        <f t="shared" si="0"/>
        <v>92.043455781250159</v>
      </c>
      <c r="L61" s="300"/>
    </row>
    <row r="62" spans="1:12" s="14" customFormat="1" ht="26.25" customHeight="1" x14ac:dyDescent="0.4">
      <c r="A62" s="312" t="s">
        <v>96</v>
      </c>
      <c r="B62" s="313">
        <v>1</v>
      </c>
      <c r="C62" s="506"/>
      <c r="D62" s="509"/>
      <c r="E62" s="372">
        <v>3</v>
      </c>
      <c r="F62" s="373">
        <v>21381230</v>
      </c>
      <c r="G62" s="437">
        <f>IF(ISBLANK(F62),"-",(F62/$D$50*$D$47*$B$68)*($B$57/$D$60))</f>
        <v>276.62018201255086</v>
      </c>
      <c r="H62" s="455">
        <f t="shared" si="0"/>
        <v>92.206727337516952</v>
      </c>
      <c r="L62" s="300"/>
    </row>
    <row r="63" spans="1:12" ht="27" customHeight="1" x14ac:dyDescent="0.4">
      <c r="A63" s="312" t="s">
        <v>97</v>
      </c>
      <c r="B63" s="313">
        <v>1</v>
      </c>
      <c r="C63" s="515"/>
      <c r="D63" s="510"/>
      <c r="E63" s="374">
        <v>4</v>
      </c>
      <c r="F63" s="375"/>
      <c r="G63" s="437" t="str">
        <f>IF(ISBLANK(F63),"-",(F63/$D$50*$D$47*$B$68)*($B$57/$D$60))</f>
        <v>-</v>
      </c>
      <c r="H63" s="455" t="str">
        <f t="shared" si="0"/>
        <v>-</v>
      </c>
    </row>
    <row r="64" spans="1:12" ht="26.25" customHeight="1" x14ac:dyDescent="0.4">
      <c r="A64" s="312" t="s">
        <v>98</v>
      </c>
      <c r="B64" s="313">
        <v>1</v>
      </c>
      <c r="C64" s="505" t="s">
        <v>99</v>
      </c>
      <c r="D64" s="508">
        <v>1110.51</v>
      </c>
      <c r="E64" s="370">
        <v>1</v>
      </c>
      <c r="F64" s="371">
        <v>21941637</v>
      </c>
      <c r="G64" s="436">
        <f>IF(ISBLANK(F64),"-",(F64/$D$50*$D$47*$B$68)*($B$57/$D$64))</f>
        <v>282.31116876616875</v>
      </c>
      <c r="H64" s="454">
        <f t="shared" si="0"/>
        <v>94.103722922056249</v>
      </c>
    </row>
    <row r="65" spans="1:8" ht="26.25" customHeight="1" x14ac:dyDescent="0.4">
      <c r="A65" s="312" t="s">
        <v>100</v>
      </c>
      <c r="B65" s="313">
        <v>1</v>
      </c>
      <c r="C65" s="506"/>
      <c r="D65" s="509"/>
      <c r="E65" s="372">
        <v>2</v>
      </c>
      <c r="F65" s="325">
        <v>21688576</v>
      </c>
      <c r="G65" s="437">
        <f>IF(ISBLANK(F65),"-",(F65/$D$50*$D$47*$B$68)*($B$57/$D$64))</f>
        <v>279.05516983230916</v>
      </c>
      <c r="H65" s="455">
        <f t="shared" si="0"/>
        <v>93.018389944103049</v>
      </c>
    </row>
    <row r="66" spans="1:8" ht="26.25" customHeight="1" x14ac:dyDescent="0.4">
      <c r="A66" s="312" t="s">
        <v>101</v>
      </c>
      <c r="B66" s="313">
        <v>1</v>
      </c>
      <c r="C66" s="506"/>
      <c r="D66" s="509"/>
      <c r="E66" s="372">
        <v>3</v>
      </c>
      <c r="F66" s="325">
        <v>22108296</v>
      </c>
      <c r="G66" s="437">
        <f>IF(ISBLANK(F66),"-",(F66/$D$50*$D$47*$B$68)*($B$57/$D$64))</f>
        <v>284.45547992560512</v>
      </c>
      <c r="H66" s="455">
        <f t="shared" si="0"/>
        <v>94.818493308535039</v>
      </c>
    </row>
    <row r="67" spans="1:8" ht="27" customHeight="1" x14ac:dyDescent="0.4">
      <c r="A67" s="312" t="s">
        <v>102</v>
      </c>
      <c r="B67" s="313">
        <v>1</v>
      </c>
      <c r="C67" s="515"/>
      <c r="D67" s="510"/>
      <c r="E67" s="374">
        <v>4</v>
      </c>
      <c r="F67" s="375"/>
      <c r="G67" s="453" t="str">
        <f>IF(ISBLANK(F67),"-",(F67/$D$50*$D$47*$B$68)*($B$57/$D$64))</f>
        <v>-</v>
      </c>
      <c r="H67" s="456" t="str">
        <f t="shared" si="0"/>
        <v>-</v>
      </c>
    </row>
    <row r="68" spans="1:8" ht="26.25" customHeight="1" x14ac:dyDescent="0.4">
      <c r="A68" s="312" t="s">
        <v>103</v>
      </c>
      <c r="B68" s="376">
        <f>(B67/B66)*(B65/B64)*(B63/B62)*(B61/B60)*B59</f>
        <v>2500</v>
      </c>
      <c r="C68" s="505" t="s">
        <v>104</v>
      </c>
      <c r="D68" s="508">
        <v>1109.5999999999999</v>
      </c>
      <c r="E68" s="370">
        <v>1</v>
      </c>
      <c r="F68" s="371">
        <v>21504344</v>
      </c>
      <c r="G68" s="436">
        <f>IF(ISBLANK(F68),"-",(F68/$D$50*$D$47*$B$68)*($B$57/$D$68))</f>
        <v>276.91166980987254</v>
      </c>
      <c r="H68" s="455">
        <f t="shared" si="0"/>
        <v>92.303889936624188</v>
      </c>
    </row>
    <row r="69" spans="1:8" ht="27" customHeight="1" x14ac:dyDescent="0.4">
      <c r="A69" s="360" t="s">
        <v>105</v>
      </c>
      <c r="B69" s="377">
        <f>(D47*B68)/B56*B57</f>
        <v>1107.4824999999996</v>
      </c>
      <c r="C69" s="506"/>
      <c r="D69" s="509"/>
      <c r="E69" s="372">
        <v>2</v>
      </c>
      <c r="F69" s="325">
        <v>22537811</v>
      </c>
      <c r="G69" s="437">
        <f>IF(ISBLANK(F69),"-",(F69/$D$50*$D$47*$B$68)*($B$57/$D$68))</f>
        <v>290.2196355243068</v>
      </c>
      <c r="H69" s="455">
        <f t="shared" si="0"/>
        <v>96.739878508102265</v>
      </c>
    </row>
    <row r="70" spans="1:8" ht="26.25" customHeight="1" x14ac:dyDescent="0.4">
      <c r="A70" s="511" t="s">
        <v>78</v>
      </c>
      <c r="B70" s="512"/>
      <c r="C70" s="506"/>
      <c r="D70" s="509"/>
      <c r="E70" s="372">
        <v>3</v>
      </c>
      <c r="F70" s="325"/>
      <c r="G70" s="437" t="str">
        <f>IF(ISBLANK(F70),"-",(F70/$D$50*$D$47*$B$68)*($B$57/$D$68))</f>
        <v>-</v>
      </c>
      <c r="H70" s="455" t="str">
        <f t="shared" si="0"/>
        <v>-</v>
      </c>
    </row>
    <row r="71" spans="1:8" ht="27" customHeight="1" x14ac:dyDescent="0.4">
      <c r="A71" s="513"/>
      <c r="B71" s="514"/>
      <c r="C71" s="507"/>
      <c r="D71" s="510"/>
      <c r="E71" s="374">
        <v>4</v>
      </c>
      <c r="F71" s="375"/>
      <c r="G71" s="453" t="str">
        <f>IF(ISBLANK(F71),"-",(F71/$D$50*$D$47*$B$68)*($B$57/$D$68))</f>
        <v>-</v>
      </c>
      <c r="H71" s="456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42">
        <f>AVERAGE(G60:G71)</f>
        <v>280.23863962645544</v>
      </c>
      <c r="H72" s="457">
        <f>AVERAGE(H60:H71)</f>
        <v>93.412879875485132</v>
      </c>
    </row>
    <row r="73" spans="1:8" ht="26.25" customHeight="1" x14ac:dyDescent="0.4">
      <c r="C73" s="378"/>
      <c r="D73" s="378"/>
      <c r="E73" s="378"/>
      <c r="F73" s="381" t="s">
        <v>84</v>
      </c>
      <c r="G73" s="441">
        <f>STDEV(G60:G71)/G72</f>
        <v>1.8115348198015718E-2</v>
      </c>
      <c r="H73" s="441">
        <f>STDEV(H60:H71)/H72</f>
        <v>1.8115348198015718E-2</v>
      </c>
    </row>
    <row r="74" spans="1:8" ht="27" customHeight="1" x14ac:dyDescent="0.4">
      <c r="A74" s="378"/>
      <c r="B74" s="378"/>
      <c r="C74" s="379"/>
      <c r="D74" s="379"/>
      <c r="E74" s="382"/>
      <c r="F74" s="383" t="s">
        <v>20</v>
      </c>
      <c r="G74" s="384">
        <f>COUNT(G60:G71)</f>
        <v>8</v>
      </c>
      <c r="H74" s="384">
        <f>COUNT(H60:H71)</f>
        <v>8</v>
      </c>
    </row>
    <row r="76" spans="1:8" ht="26.25" customHeight="1" x14ac:dyDescent="0.4">
      <c r="A76" s="296" t="s">
        <v>106</v>
      </c>
      <c r="B76" s="385" t="s">
        <v>107</v>
      </c>
      <c r="C76" s="492" t="str">
        <f>B26</f>
        <v xml:space="preserve">Lamivudine </v>
      </c>
      <c r="D76" s="492"/>
      <c r="E76" s="386" t="s">
        <v>108</v>
      </c>
      <c r="F76" s="386"/>
      <c r="G76" s="473">
        <f>H72</f>
        <v>93.412879875485132</v>
      </c>
      <c r="H76" s="388"/>
    </row>
    <row r="77" spans="1:8" ht="18.75" x14ac:dyDescent="0.3">
      <c r="A77" s="295" t="s">
        <v>109</v>
      </c>
      <c r="B77" s="295" t="s">
        <v>110</v>
      </c>
    </row>
    <row r="78" spans="1:8" ht="18.75" x14ac:dyDescent="0.3">
      <c r="A78" s="295"/>
      <c r="B78" s="295"/>
    </row>
    <row r="79" spans="1:8" ht="26.25" customHeight="1" x14ac:dyDescent="0.4">
      <c r="A79" s="296" t="s">
        <v>4</v>
      </c>
      <c r="B79" s="526" t="str">
        <f>B26</f>
        <v xml:space="preserve">Lamivudine </v>
      </c>
      <c r="C79" s="526"/>
    </row>
    <row r="80" spans="1:8" ht="26.25" customHeight="1" x14ac:dyDescent="0.4">
      <c r="A80" s="297" t="s">
        <v>48</v>
      </c>
      <c r="B80" s="526" t="str">
        <f>B27</f>
        <v>L3-10</v>
      </c>
      <c r="C80" s="526"/>
    </row>
    <row r="81" spans="1:12" ht="27" customHeight="1" x14ac:dyDescent="0.4">
      <c r="A81" s="297" t="s">
        <v>6</v>
      </c>
      <c r="B81" s="389">
        <f>B28</f>
        <v>99.39</v>
      </c>
    </row>
    <row r="82" spans="1:12" s="14" customFormat="1" ht="27" customHeight="1" x14ac:dyDescent="0.4">
      <c r="A82" s="297" t="s">
        <v>49</v>
      </c>
      <c r="B82" s="299">
        <v>0</v>
      </c>
      <c r="C82" s="494" t="s">
        <v>50</v>
      </c>
      <c r="D82" s="495"/>
      <c r="E82" s="495"/>
      <c r="F82" s="495"/>
      <c r="G82" s="496"/>
      <c r="I82" s="300"/>
      <c r="J82" s="300"/>
      <c r="K82" s="300"/>
      <c r="L82" s="300"/>
    </row>
    <row r="83" spans="1:12" s="14" customFormat="1" ht="19.5" customHeight="1" x14ac:dyDescent="0.3">
      <c r="A83" s="297" t="s">
        <v>51</v>
      </c>
      <c r="B83" s="301">
        <f>B81-B82</f>
        <v>99.39</v>
      </c>
      <c r="C83" s="302"/>
      <c r="D83" s="302"/>
      <c r="E83" s="302"/>
      <c r="F83" s="302"/>
      <c r="G83" s="303"/>
      <c r="I83" s="300"/>
      <c r="J83" s="300"/>
      <c r="K83" s="300"/>
      <c r="L83" s="300"/>
    </row>
    <row r="84" spans="1:12" s="14" customFormat="1" ht="27" customHeight="1" x14ac:dyDescent="0.4">
      <c r="A84" s="297" t="s">
        <v>52</v>
      </c>
      <c r="B84" s="304">
        <v>1</v>
      </c>
      <c r="C84" s="497" t="s">
        <v>111</v>
      </c>
      <c r="D84" s="498"/>
      <c r="E84" s="498"/>
      <c r="F84" s="498"/>
      <c r="G84" s="498"/>
      <c r="H84" s="499"/>
      <c r="I84" s="300"/>
      <c r="J84" s="300"/>
      <c r="K84" s="300"/>
      <c r="L84" s="300"/>
    </row>
    <row r="85" spans="1:12" s="14" customFormat="1" ht="27" customHeight="1" x14ac:dyDescent="0.4">
      <c r="A85" s="297" t="s">
        <v>54</v>
      </c>
      <c r="B85" s="304">
        <v>1</v>
      </c>
      <c r="C85" s="497" t="s">
        <v>112</v>
      </c>
      <c r="D85" s="498"/>
      <c r="E85" s="498"/>
      <c r="F85" s="498"/>
      <c r="G85" s="498"/>
      <c r="H85" s="499"/>
      <c r="I85" s="300"/>
      <c r="J85" s="300"/>
      <c r="K85" s="300"/>
      <c r="L85" s="300"/>
    </row>
    <row r="86" spans="1:12" s="14" customFormat="1" ht="18.75" x14ac:dyDescent="0.3">
      <c r="A86" s="297"/>
      <c r="B86" s="307"/>
      <c r="C86" s="308"/>
      <c r="D86" s="308"/>
      <c r="E86" s="308"/>
      <c r="F86" s="308"/>
      <c r="G86" s="308"/>
      <c r="H86" s="308"/>
      <c r="I86" s="300"/>
      <c r="J86" s="300"/>
      <c r="K86" s="300"/>
      <c r="L86" s="300"/>
    </row>
    <row r="87" spans="1:12" s="14" customFormat="1" ht="18.75" x14ac:dyDescent="0.3">
      <c r="A87" s="297" t="s">
        <v>56</v>
      </c>
      <c r="B87" s="309">
        <f>B84/B85</f>
        <v>1</v>
      </c>
      <c r="C87" s="287" t="s">
        <v>57</v>
      </c>
      <c r="D87" s="287"/>
      <c r="E87" s="287"/>
      <c r="F87" s="287"/>
      <c r="G87" s="287"/>
      <c r="I87" s="300"/>
      <c r="J87" s="300"/>
      <c r="K87" s="300"/>
      <c r="L87" s="300"/>
    </row>
    <row r="88" spans="1:12" ht="19.5" customHeight="1" x14ac:dyDescent="0.3">
      <c r="A88" s="295"/>
      <c r="B88" s="295"/>
    </row>
    <row r="89" spans="1:12" ht="27" customHeight="1" x14ac:dyDescent="0.4">
      <c r="A89" s="310" t="s">
        <v>58</v>
      </c>
      <c r="B89" s="311">
        <v>50</v>
      </c>
      <c r="D89" s="390" t="s">
        <v>59</v>
      </c>
      <c r="E89" s="391"/>
      <c r="F89" s="500" t="s">
        <v>60</v>
      </c>
      <c r="G89" s="501"/>
    </row>
    <row r="90" spans="1:12" ht="27" customHeight="1" x14ac:dyDescent="0.4">
      <c r="A90" s="312" t="s">
        <v>61</v>
      </c>
      <c r="B90" s="313">
        <v>1</v>
      </c>
      <c r="C90" s="392" t="s">
        <v>62</v>
      </c>
      <c r="D90" s="315" t="s">
        <v>63</v>
      </c>
      <c r="E90" s="316" t="s">
        <v>64</v>
      </c>
      <c r="F90" s="315" t="s">
        <v>63</v>
      </c>
      <c r="G90" s="393" t="s">
        <v>64</v>
      </c>
      <c r="I90" s="318" t="s">
        <v>65</v>
      </c>
    </row>
    <row r="91" spans="1:12" ht="26.25" customHeight="1" x14ac:dyDescent="0.4">
      <c r="A91" s="312" t="s">
        <v>66</v>
      </c>
      <c r="B91" s="313">
        <v>1</v>
      </c>
      <c r="C91" s="394">
        <v>1</v>
      </c>
      <c r="D91" s="320">
        <v>5445746</v>
      </c>
      <c r="E91" s="321">
        <f>IF(ISBLANK(D91),"-",$D$101/$D$98*D91)</f>
        <v>4999241.7248867732</v>
      </c>
      <c r="F91" s="320">
        <v>5097995</v>
      </c>
      <c r="G91" s="322">
        <f>IF(ISBLANK(F91),"-",$D$101/$F$98*F91)</f>
        <v>4909971.5668256646</v>
      </c>
      <c r="I91" s="323"/>
    </row>
    <row r="92" spans="1:12" ht="26.25" customHeight="1" x14ac:dyDescent="0.4">
      <c r="A92" s="312" t="s">
        <v>67</v>
      </c>
      <c r="B92" s="313">
        <v>1</v>
      </c>
      <c r="C92" s="379">
        <v>2</v>
      </c>
      <c r="D92" s="325">
        <v>5444370</v>
      </c>
      <c r="E92" s="326">
        <f>IF(ISBLANK(D92),"-",$D$101/$D$98*D92)</f>
        <v>4997978.5450371355</v>
      </c>
      <c r="F92" s="325">
        <v>5102193</v>
      </c>
      <c r="G92" s="327">
        <f>IF(ISBLANK(F92),"-",$D$101/$F$98*F92)</f>
        <v>4914014.7368635982</v>
      </c>
      <c r="I92" s="502">
        <f>ABS((F96/D96*D95)-F95)/D95</f>
        <v>1.6109685606304408E-2</v>
      </c>
    </row>
    <row r="93" spans="1:12" ht="26.25" customHeight="1" x14ac:dyDescent="0.4">
      <c r="A93" s="312" t="s">
        <v>68</v>
      </c>
      <c r="B93" s="313">
        <v>1</v>
      </c>
      <c r="C93" s="379">
        <v>3</v>
      </c>
      <c r="D93" s="325">
        <v>5434068</v>
      </c>
      <c r="E93" s="326">
        <f>IF(ISBLANK(D93),"-",$D$101/$D$98*D93)</f>
        <v>4988521.2203198634</v>
      </c>
      <c r="F93" s="325">
        <v>5096443</v>
      </c>
      <c r="G93" s="327">
        <f>IF(ISBLANK(F93),"-",$D$101/$F$98*F93)</f>
        <v>4908476.807440511</v>
      </c>
      <c r="I93" s="502"/>
    </row>
    <row r="94" spans="1:12" ht="27" customHeight="1" x14ac:dyDescent="0.4">
      <c r="A94" s="312" t="s">
        <v>69</v>
      </c>
      <c r="B94" s="313">
        <v>1</v>
      </c>
      <c r="C94" s="395">
        <v>4</v>
      </c>
      <c r="D94" s="330"/>
      <c r="E94" s="331" t="str">
        <f>IF(ISBLANK(D94),"-",$D$101/$D$98*D94)</f>
        <v>-</v>
      </c>
      <c r="F94" s="396"/>
      <c r="G94" s="332" t="str">
        <f>IF(ISBLANK(F94),"-",$D$101/$F$98*F94)</f>
        <v>-</v>
      </c>
      <c r="I94" s="333"/>
    </row>
    <row r="95" spans="1:12" ht="27" customHeight="1" x14ac:dyDescent="0.4">
      <c r="A95" s="312" t="s">
        <v>70</v>
      </c>
      <c r="B95" s="313">
        <v>1</v>
      </c>
      <c r="C95" s="397" t="s">
        <v>71</v>
      </c>
      <c r="D95" s="398">
        <f>AVERAGE(D91:D94)</f>
        <v>5441394.666666667</v>
      </c>
      <c r="E95" s="336">
        <f>AVERAGE(E91:E94)</f>
        <v>4995247.163414591</v>
      </c>
      <c r="F95" s="399">
        <f>AVERAGE(F91:F94)</f>
        <v>5098877</v>
      </c>
      <c r="G95" s="400">
        <f>AVERAGE(G91:G94)</f>
        <v>4910821.0370432585</v>
      </c>
    </row>
    <row r="96" spans="1:12" ht="26.25" customHeight="1" x14ac:dyDescent="0.4">
      <c r="A96" s="312" t="s">
        <v>72</v>
      </c>
      <c r="B96" s="298">
        <v>1</v>
      </c>
      <c r="C96" s="401" t="s">
        <v>113</v>
      </c>
      <c r="D96" s="402">
        <v>16.440000000000001</v>
      </c>
      <c r="E96" s="328"/>
      <c r="F96" s="340">
        <v>15.67</v>
      </c>
    </row>
    <row r="97" spans="1:10" ht="26.25" customHeight="1" x14ac:dyDescent="0.4">
      <c r="A97" s="312" t="s">
        <v>74</v>
      </c>
      <c r="B97" s="298">
        <v>1</v>
      </c>
      <c r="C97" s="403" t="s">
        <v>114</v>
      </c>
      <c r="D97" s="404">
        <f>D96*$B$87</f>
        <v>16.440000000000001</v>
      </c>
      <c r="E97" s="343"/>
      <c r="F97" s="342">
        <f>F96*$B$87</f>
        <v>15.67</v>
      </c>
    </row>
    <row r="98" spans="1:10" ht="19.5" customHeight="1" x14ac:dyDescent="0.3">
      <c r="A98" s="312" t="s">
        <v>76</v>
      </c>
      <c r="B98" s="405">
        <f>(B97/B96)*(B95/B94)*(B93/B92)*(B91/B90)*B89</f>
        <v>50</v>
      </c>
      <c r="C98" s="403" t="s">
        <v>115</v>
      </c>
      <c r="D98" s="406">
        <f>D97*$B$83/100</f>
        <v>16.339715999999999</v>
      </c>
      <c r="E98" s="346"/>
      <c r="F98" s="345">
        <f>F97*$B$83/100</f>
        <v>15.574413</v>
      </c>
    </row>
    <row r="99" spans="1:10" ht="19.5" customHeight="1" x14ac:dyDescent="0.3">
      <c r="A99" s="488" t="s">
        <v>78</v>
      </c>
      <c r="B99" s="503"/>
      <c r="C99" s="403" t="s">
        <v>116</v>
      </c>
      <c r="D99" s="407">
        <f>D98/$B$98</f>
        <v>0.32679431999999997</v>
      </c>
      <c r="E99" s="346"/>
      <c r="F99" s="349">
        <f>F98/$B$98</f>
        <v>0.31148826000000002</v>
      </c>
      <c r="G99" s="408"/>
      <c r="H99" s="338"/>
    </row>
    <row r="100" spans="1:10" ht="19.5" customHeight="1" x14ac:dyDescent="0.3">
      <c r="A100" s="490"/>
      <c r="B100" s="504"/>
      <c r="C100" s="403" t="s">
        <v>80</v>
      </c>
      <c r="D100" s="409">
        <f>$B$56/$B$116</f>
        <v>0.3</v>
      </c>
      <c r="F100" s="354"/>
      <c r="G100" s="410"/>
      <c r="H100" s="338"/>
    </row>
    <row r="101" spans="1:10" ht="18.75" x14ac:dyDescent="0.3">
      <c r="C101" s="403" t="s">
        <v>81</v>
      </c>
      <c r="D101" s="404">
        <f>D100*$B$98</f>
        <v>15</v>
      </c>
      <c r="F101" s="354"/>
      <c r="G101" s="408"/>
      <c r="H101" s="338"/>
    </row>
    <row r="102" spans="1:10" ht="19.5" customHeight="1" x14ac:dyDescent="0.3">
      <c r="C102" s="411" t="s">
        <v>82</v>
      </c>
      <c r="D102" s="412">
        <f>D101/B34</f>
        <v>15</v>
      </c>
      <c r="F102" s="358"/>
      <c r="G102" s="408"/>
      <c r="H102" s="338"/>
      <c r="J102" s="413"/>
    </row>
    <row r="103" spans="1:10" ht="18.75" x14ac:dyDescent="0.3">
      <c r="C103" s="414" t="s">
        <v>117</v>
      </c>
      <c r="D103" s="415">
        <f>AVERAGE(E91:E94,G91:G94)</f>
        <v>4953034.1002289243</v>
      </c>
      <c r="F103" s="358"/>
      <c r="G103" s="416"/>
      <c r="H103" s="338"/>
      <c r="J103" s="417"/>
    </row>
    <row r="104" spans="1:10" ht="18.75" x14ac:dyDescent="0.3">
      <c r="C104" s="381" t="s">
        <v>84</v>
      </c>
      <c r="D104" s="418">
        <f>STDEV(E91:E94,G91:G94)/D103</f>
        <v>9.3731840591991817E-3</v>
      </c>
      <c r="F104" s="358"/>
      <c r="G104" s="408"/>
      <c r="H104" s="338"/>
      <c r="J104" s="417"/>
    </row>
    <row r="105" spans="1:10" ht="19.5" customHeight="1" x14ac:dyDescent="0.3">
      <c r="C105" s="383" t="s">
        <v>20</v>
      </c>
      <c r="D105" s="419">
        <f>COUNT(E91:E94,G91:G94)</f>
        <v>6</v>
      </c>
      <c r="F105" s="358"/>
      <c r="G105" s="408"/>
      <c r="H105" s="338"/>
      <c r="J105" s="417"/>
    </row>
    <row r="106" spans="1:10" ht="19.5" customHeight="1" x14ac:dyDescent="0.3">
      <c r="A106" s="362"/>
      <c r="B106" s="362"/>
      <c r="C106" s="362"/>
      <c r="D106" s="362"/>
      <c r="E106" s="362"/>
    </row>
    <row r="107" spans="1:10" ht="27" customHeight="1" x14ac:dyDescent="0.4">
      <c r="A107" s="310" t="s">
        <v>118</v>
      </c>
      <c r="B107" s="311">
        <v>1000</v>
      </c>
      <c r="C107" s="458" t="s">
        <v>119</v>
      </c>
      <c r="D107" s="458" t="s">
        <v>63</v>
      </c>
      <c r="E107" s="458" t="s">
        <v>120</v>
      </c>
      <c r="F107" s="420" t="s">
        <v>121</v>
      </c>
    </row>
    <row r="108" spans="1:10" ht="26.25" customHeight="1" x14ac:dyDescent="0.4">
      <c r="A108" s="312" t="s">
        <v>122</v>
      </c>
      <c r="B108" s="313">
        <v>1</v>
      </c>
      <c r="C108" s="463">
        <v>1</v>
      </c>
      <c r="D108" s="464">
        <v>4964162</v>
      </c>
      <c r="E108" s="438">
        <f t="shared" ref="E108:E113" si="1">IF(ISBLANK(D108),"-",D108/$D$103*$D$100*$B$116)</f>
        <v>300.67400503686588</v>
      </c>
      <c r="F108" s="465">
        <f t="shared" ref="F108:F113" si="2">IF(ISBLANK(D108), "-", (E108/$B$56)*100)</f>
        <v>100.22466834562196</v>
      </c>
    </row>
    <row r="109" spans="1:10" ht="26.25" customHeight="1" x14ac:dyDescent="0.4">
      <c r="A109" s="312" t="s">
        <v>95</v>
      </c>
      <c r="B109" s="313">
        <v>1</v>
      </c>
      <c r="C109" s="459">
        <v>2</v>
      </c>
      <c r="D109" s="461">
        <v>4975084</v>
      </c>
      <c r="E109" s="439">
        <f t="shared" si="1"/>
        <v>301.33553894390047</v>
      </c>
      <c r="F109" s="466">
        <f t="shared" si="2"/>
        <v>100.44517964796682</v>
      </c>
    </row>
    <row r="110" spans="1:10" ht="26.25" customHeight="1" x14ac:dyDescent="0.4">
      <c r="A110" s="312" t="s">
        <v>96</v>
      </c>
      <c r="B110" s="313">
        <v>1</v>
      </c>
      <c r="C110" s="459">
        <v>3</v>
      </c>
      <c r="D110" s="461">
        <v>4953408</v>
      </c>
      <c r="E110" s="439">
        <f t="shared" si="1"/>
        <v>300.02264671089534</v>
      </c>
      <c r="F110" s="466">
        <f t="shared" si="2"/>
        <v>100.00754890363177</v>
      </c>
    </row>
    <row r="111" spans="1:10" ht="26.25" customHeight="1" x14ac:dyDescent="0.4">
      <c r="A111" s="312" t="s">
        <v>97</v>
      </c>
      <c r="B111" s="313">
        <v>1</v>
      </c>
      <c r="C111" s="459">
        <v>4</v>
      </c>
      <c r="D111" s="461">
        <v>4971691</v>
      </c>
      <c r="E111" s="439">
        <f t="shared" si="1"/>
        <v>301.1300285477671</v>
      </c>
      <c r="F111" s="466">
        <f t="shared" si="2"/>
        <v>100.37667618258904</v>
      </c>
    </row>
    <row r="112" spans="1:10" ht="26.25" customHeight="1" x14ac:dyDescent="0.4">
      <c r="A112" s="312" t="s">
        <v>98</v>
      </c>
      <c r="B112" s="313">
        <v>1</v>
      </c>
      <c r="C112" s="459">
        <v>5</v>
      </c>
      <c r="D112" s="461">
        <v>4933476</v>
      </c>
      <c r="E112" s="439">
        <f t="shared" si="1"/>
        <v>298.81538670036491</v>
      </c>
      <c r="F112" s="466">
        <f t="shared" si="2"/>
        <v>99.605128900121642</v>
      </c>
    </row>
    <row r="113" spans="1:10" ht="27" customHeight="1" x14ac:dyDescent="0.4">
      <c r="A113" s="312" t="s">
        <v>100</v>
      </c>
      <c r="B113" s="313">
        <v>1</v>
      </c>
      <c r="C113" s="460">
        <v>6</v>
      </c>
      <c r="D113" s="462">
        <v>4957374</v>
      </c>
      <c r="E113" s="440">
        <f t="shared" si="1"/>
        <v>300.26286310672941</v>
      </c>
      <c r="F113" s="467">
        <f t="shared" si="2"/>
        <v>100.08762103557646</v>
      </c>
    </row>
    <row r="114" spans="1:10" ht="27" customHeight="1" x14ac:dyDescent="0.4">
      <c r="A114" s="312" t="s">
        <v>101</v>
      </c>
      <c r="B114" s="313">
        <v>1</v>
      </c>
      <c r="C114" s="421"/>
      <c r="D114" s="379"/>
      <c r="E114" s="286"/>
      <c r="F114" s="468"/>
    </row>
    <row r="115" spans="1:10" ht="26.25" customHeight="1" x14ac:dyDescent="0.4">
      <c r="A115" s="312" t="s">
        <v>102</v>
      </c>
      <c r="B115" s="313">
        <v>1</v>
      </c>
      <c r="C115" s="421"/>
      <c r="D115" s="445" t="s">
        <v>71</v>
      </c>
      <c r="E115" s="447">
        <f>AVERAGE(E108:E113)</f>
        <v>300.37341150775381</v>
      </c>
      <c r="F115" s="469">
        <f>AVERAGE(F108:F113)</f>
        <v>100.12447050258463</v>
      </c>
    </row>
    <row r="116" spans="1:10" ht="27" customHeight="1" x14ac:dyDescent="0.4">
      <c r="A116" s="312" t="s">
        <v>103</v>
      </c>
      <c r="B116" s="344">
        <f>(B115/B114)*(B113/B112)*(B111/B110)*(B109/B108)*B107</f>
        <v>1000</v>
      </c>
      <c r="C116" s="422"/>
      <c r="D116" s="446" t="s">
        <v>84</v>
      </c>
      <c r="E116" s="444">
        <f>STDEV(E108:E113)/E115</f>
        <v>3.0334792642313833E-3</v>
      </c>
      <c r="F116" s="423">
        <f>STDEV(F108:F113)/F115</f>
        <v>3.0334792642313876E-3</v>
      </c>
      <c r="I116" s="286"/>
    </row>
    <row r="117" spans="1:10" ht="27" customHeight="1" x14ac:dyDescent="0.4">
      <c r="A117" s="488" t="s">
        <v>78</v>
      </c>
      <c r="B117" s="489"/>
      <c r="C117" s="424"/>
      <c r="D117" s="383" t="s">
        <v>20</v>
      </c>
      <c r="E117" s="449">
        <f>COUNT(E108:E113)</f>
        <v>6</v>
      </c>
      <c r="F117" s="450">
        <f>COUNT(F108:F113)</f>
        <v>6</v>
      </c>
      <c r="I117" s="286"/>
      <c r="J117" s="417"/>
    </row>
    <row r="118" spans="1:10" ht="26.25" customHeight="1" x14ac:dyDescent="0.3">
      <c r="A118" s="490"/>
      <c r="B118" s="491"/>
      <c r="C118" s="286"/>
      <c r="D118" s="448"/>
      <c r="E118" s="516" t="s">
        <v>123</v>
      </c>
      <c r="F118" s="517"/>
      <c r="G118" s="286"/>
      <c r="H118" s="286"/>
      <c r="I118" s="286"/>
    </row>
    <row r="119" spans="1:10" ht="25.5" customHeight="1" x14ac:dyDescent="0.4">
      <c r="A119" s="433"/>
      <c r="B119" s="308"/>
      <c r="C119" s="286"/>
      <c r="D119" s="446" t="s">
        <v>124</v>
      </c>
      <c r="E119" s="451">
        <f>MIN(E108:E113)</f>
        <v>298.81538670036491</v>
      </c>
      <c r="F119" s="470">
        <f>MIN(F108:F113)</f>
        <v>99.605128900121642</v>
      </c>
      <c r="G119" s="286"/>
      <c r="H119" s="286"/>
      <c r="I119" s="286"/>
    </row>
    <row r="120" spans="1:10" ht="24" customHeight="1" x14ac:dyDescent="0.4">
      <c r="A120" s="433"/>
      <c r="B120" s="308"/>
      <c r="C120" s="286"/>
      <c r="D120" s="355" t="s">
        <v>125</v>
      </c>
      <c r="E120" s="452">
        <f>MAX(E108:E113)</f>
        <v>301.33553894390047</v>
      </c>
      <c r="F120" s="471">
        <f>MAX(F108:F113)</f>
        <v>100.44517964796682</v>
      </c>
      <c r="G120" s="286"/>
      <c r="H120" s="286"/>
      <c r="I120" s="286"/>
    </row>
    <row r="121" spans="1:10" ht="27" customHeight="1" x14ac:dyDescent="0.3">
      <c r="A121" s="433"/>
      <c r="B121" s="308"/>
      <c r="C121" s="286"/>
      <c r="D121" s="286"/>
      <c r="E121" s="286"/>
      <c r="F121" s="379"/>
      <c r="G121" s="286"/>
      <c r="H121" s="286"/>
      <c r="I121" s="286"/>
    </row>
    <row r="122" spans="1:10" ht="25.5" customHeight="1" x14ac:dyDescent="0.3">
      <c r="A122" s="433"/>
      <c r="B122" s="308"/>
      <c r="C122" s="286"/>
      <c r="D122" s="286"/>
      <c r="E122" s="286"/>
      <c r="F122" s="379"/>
      <c r="G122" s="286"/>
      <c r="H122" s="286"/>
      <c r="I122" s="286"/>
    </row>
    <row r="123" spans="1:10" ht="18.75" x14ac:dyDescent="0.3">
      <c r="A123" s="433"/>
      <c r="B123" s="308"/>
      <c r="C123" s="286"/>
      <c r="D123" s="286"/>
      <c r="E123" s="286"/>
      <c r="F123" s="379"/>
      <c r="G123" s="286"/>
      <c r="H123" s="286"/>
      <c r="I123" s="286"/>
    </row>
    <row r="124" spans="1:10" ht="45.75" customHeight="1" x14ac:dyDescent="0.65">
      <c r="A124" s="296" t="s">
        <v>106</v>
      </c>
      <c r="B124" s="385" t="s">
        <v>126</v>
      </c>
      <c r="C124" s="492" t="str">
        <f>B26</f>
        <v xml:space="preserve">Lamivudine </v>
      </c>
      <c r="D124" s="492"/>
      <c r="E124" s="386" t="s">
        <v>127</v>
      </c>
      <c r="F124" s="386"/>
      <c r="G124" s="472">
        <f>F115</f>
        <v>100.12447050258463</v>
      </c>
      <c r="H124" s="286"/>
      <c r="I124" s="286"/>
    </row>
    <row r="125" spans="1:10" ht="45.75" customHeight="1" x14ac:dyDescent="0.65">
      <c r="A125" s="296"/>
      <c r="B125" s="385" t="s">
        <v>128</v>
      </c>
      <c r="C125" s="297" t="s">
        <v>129</v>
      </c>
      <c r="D125" s="472">
        <f>MIN(F108:F113)</f>
        <v>99.605128900121642</v>
      </c>
      <c r="E125" s="397" t="s">
        <v>130</v>
      </c>
      <c r="F125" s="472">
        <f>MAX(F108:F113)</f>
        <v>100.44517964796682</v>
      </c>
      <c r="G125" s="387"/>
      <c r="H125" s="286"/>
      <c r="I125" s="286"/>
    </row>
    <row r="126" spans="1:10" ht="19.5" customHeight="1" x14ac:dyDescent="0.3">
      <c r="A126" s="425"/>
      <c r="B126" s="425"/>
      <c r="C126" s="426"/>
      <c r="D126" s="426"/>
      <c r="E126" s="426"/>
      <c r="F126" s="426"/>
      <c r="G126" s="426"/>
      <c r="H126" s="426"/>
    </row>
    <row r="127" spans="1:10" ht="18.75" x14ac:dyDescent="0.3">
      <c r="B127" s="493" t="s">
        <v>26</v>
      </c>
      <c r="C127" s="493"/>
      <c r="E127" s="392" t="s">
        <v>27</v>
      </c>
      <c r="F127" s="427"/>
      <c r="G127" s="493" t="s">
        <v>28</v>
      </c>
      <c r="H127" s="493"/>
    </row>
    <row r="128" spans="1:10" ht="69.95" customHeight="1" x14ac:dyDescent="0.3">
      <c r="A128" s="428" t="s">
        <v>29</v>
      </c>
      <c r="B128" s="429"/>
      <c r="C128" s="429"/>
      <c r="E128" s="429"/>
      <c r="F128" s="286"/>
      <c r="G128" s="430"/>
      <c r="H128" s="430"/>
    </row>
    <row r="129" spans="1:9" ht="69.95" customHeight="1" x14ac:dyDescent="0.3">
      <c r="A129" s="428" t="s">
        <v>30</v>
      </c>
      <c r="B129" s="431"/>
      <c r="C129" s="431"/>
      <c r="E129" s="431"/>
      <c r="F129" s="286"/>
      <c r="G129" s="432"/>
      <c r="H129" s="432"/>
    </row>
    <row r="130" spans="1:9" ht="18.75" x14ac:dyDescent="0.3">
      <c r="A130" s="378"/>
      <c r="B130" s="378"/>
      <c r="C130" s="379"/>
      <c r="D130" s="379"/>
      <c r="E130" s="379"/>
      <c r="F130" s="382"/>
      <c r="G130" s="379"/>
      <c r="H130" s="379"/>
      <c r="I130" s="286"/>
    </row>
    <row r="131" spans="1:9" ht="18.75" x14ac:dyDescent="0.3">
      <c r="A131" s="378"/>
      <c r="B131" s="378"/>
      <c r="C131" s="379"/>
      <c r="D131" s="379"/>
      <c r="E131" s="379"/>
      <c r="F131" s="382"/>
      <c r="G131" s="379"/>
      <c r="H131" s="379"/>
      <c r="I131" s="286"/>
    </row>
    <row r="132" spans="1:9" ht="18.75" x14ac:dyDescent="0.3">
      <c r="A132" s="378"/>
      <c r="B132" s="378"/>
      <c r="C132" s="379"/>
      <c r="D132" s="379"/>
      <c r="E132" s="379"/>
      <c r="F132" s="382"/>
      <c r="G132" s="379"/>
      <c r="H132" s="379"/>
      <c r="I132" s="286"/>
    </row>
    <row r="133" spans="1:9" ht="18.75" x14ac:dyDescent="0.3">
      <c r="A133" s="378"/>
      <c r="B133" s="378"/>
      <c r="C133" s="379"/>
      <c r="D133" s="379"/>
      <c r="E133" s="379"/>
      <c r="F133" s="382"/>
      <c r="G133" s="379"/>
      <c r="H133" s="379"/>
      <c r="I133" s="286"/>
    </row>
    <row r="134" spans="1:9" ht="18.75" x14ac:dyDescent="0.3">
      <c r="A134" s="378"/>
      <c r="B134" s="378"/>
      <c r="C134" s="379"/>
      <c r="D134" s="379"/>
      <c r="E134" s="379"/>
      <c r="F134" s="382"/>
      <c r="G134" s="379"/>
      <c r="H134" s="379"/>
      <c r="I134" s="286"/>
    </row>
    <row r="135" spans="1:9" ht="18.75" x14ac:dyDescent="0.3">
      <c r="A135" s="378"/>
      <c r="B135" s="378"/>
      <c r="C135" s="379"/>
      <c r="D135" s="379"/>
      <c r="E135" s="379"/>
      <c r="F135" s="382"/>
      <c r="G135" s="379"/>
      <c r="H135" s="379"/>
      <c r="I135" s="286"/>
    </row>
    <row r="136" spans="1:9" ht="18.75" x14ac:dyDescent="0.3">
      <c r="A136" s="378"/>
      <c r="B136" s="378"/>
      <c r="C136" s="379"/>
      <c r="D136" s="379"/>
      <c r="E136" s="379"/>
      <c r="F136" s="382"/>
      <c r="G136" s="379"/>
      <c r="H136" s="379"/>
      <c r="I136" s="286"/>
    </row>
    <row r="137" spans="1:9" ht="18.75" x14ac:dyDescent="0.3">
      <c r="A137" s="378"/>
      <c r="B137" s="378"/>
      <c r="C137" s="379"/>
      <c r="D137" s="379"/>
      <c r="E137" s="379"/>
      <c r="F137" s="382"/>
      <c r="G137" s="379"/>
      <c r="H137" s="379"/>
      <c r="I137" s="286"/>
    </row>
    <row r="138" spans="1:9" ht="18.75" x14ac:dyDescent="0.3">
      <c r="A138" s="378"/>
      <c r="B138" s="378"/>
      <c r="C138" s="379"/>
      <c r="D138" s="379"/>
      <c r="E138" s="379"/>
      <c r="F138" s="382"/>
      <c r="G138" s="379"/>
      <c r="H138" s="379"/>
      <c r="I138" s="28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TDF</vt:lpstr>
      <vt:lpstr>SST LAM</vt:lpstr>
      <vt:lpstr>Uniformity</vt:lpstr>
      <vt:lpstr>Tenofovir Disoproxil Fumarate</vt:lpstr>
      <vt:lpstr>Lamivudine</vt:lpstr>
      <vt:lpstr>Lamivudine!Print_Area</vt:lpstr>
      <vt:lpstr>'SST LAM'!Print_Area</vt:lpstr>
      <vt:lpstr>'SST TDF'!Print_Area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2017-10-04T06:53:12Z</cp:lastPrinted>
  <dcterms:created xsi:type="dcterms:W3CDTF">2005-07-05T10:19:27Z</dcterms:created>
  <dcterms:modified xsi:type="dcterms:W3CDTF">2017-10-04T06:55:24Z</dcterms:modified>
</cp:coreProperties>
</file>