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5"/>
  </bookViews>
  <sheets>
    <sheet name="SST TDF" sheetId="10" r:id="rId1"/>
    <sheet name="SST Lamivudine" sheetId="11" r:id="rId2"/>
    <sheet name="SST Efavirenz" sheetId="9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Efavirenz'!$A$15:$H$61</definedName>
    <definedName name="_xlnm.Print_Area" localSheetId="1">'SST Lamivudine'!$A$15:$H$61</definedName>
    <definedName name="_xlnm.Print_Area" localSheetId="0">'SST TDF'!$A$15:$H$61</definedName>
    <definedName name="_xlnm.Print_Area" localSheetId="4">'Tenofovir Disoproxil Fumarate'!$A$1:$I$129</definedName>
    <definedName name="_xlnm.Print_Area" localSheetId="3">Uniformity!$A$12:$K$54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B52" i="10"/>
  <c r="F51" i="10"/>
  <c r="E51" i="10"/>
  <c r="D51" i="10"/>
  <c r="C51" i="10"/>
  <c r="B51" i="10"/>
  <c r="B42" i="10"/>
  <c r="B32" i="10"/>
  <c r="B31" i="10"/>
  <c r="F30" i="10"/>
  <c r="E30" i="10"/>
  <c r="D30" i="10"/>
  <c r="C30" i="10"/>
  <c r="B30" i="10"/>
  <c r="B21" i="10"/>
  <c r="B53" i="9"/>
  <c r="B52" i="9"/>
  <c r="F51" i="9"/>
  <c r="E51" i="9"/>
  <c r="D51" i="9"/>
  <c r="C51" i="9"/>
  <c r="B51" i="9"/>
  <c r="B32" i="9"/>
  <c r="F30" i="9"/>
  <c r="E30" i="9"/>
  <c r="D30" i="9"/>
  <c r="C30" i="9"/>
  <c r="B30" i="9"/>
  <c r="B31" i="9" s="1"/>
  <c r="B21" i="9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D101" i="3" s="1"/>
  <c r="B98" i="3"/>
  <c r="F95" i="3"/>
  <c r="D95" i="3"/>
  <c r="B8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B57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3" l="1"/>
  <c r="D101" i="4"/>
  <c r="I92" i="4"/>
  <c r="D97" i="4"/>
  <c r="D98" i="4" s="1"/>
  <c r="E91" i="4" s="1"/>
  <c r="F98" i="4"/>
  <c r="G91" i="4" s="1"/>
  <c r="I92" i="5"/>
  <c r="D101" i="5"/>
  <c r="D102" i="5" s="1"/>
  <c r="B69" i="3"/>
  <c r="I39" i="4"/>
  <c r="D102" i="4"/>
  <c r="D49" i="4"/>
  <c r="D44" i="4"/>
  <c r="D45" i="4" s="1"/>
  <c r="D46" i="4" s="1"/>
  <c r="F45" i="4"/>
  <c r="F46" i="4" s="1"/>
  <c r="I39" i="5"/>
  <c r="B69" i="5"/>
  <c r="F45" i="5"/>
  <c r="F46" i="5" s="1"/>
  <c r="F98" i="5"/>
  <c r="F99" i="5" s="1"/>
  <c r="D45" i="3"/>
  <c r="F44" i="3"/>
  <c r="F45" i="3" s="1"/>
  <c r="G39" i="3" s="1"/>
  <c r="I39" i="3"/>
  <c r="D49" i="3"/>
  <c r="E40" i="3"/>
  <c r="G38" i="3"/>
  <c r="G41" i="3"/>
  <c r="F97" i="3"/>
  <c r="F98" i="3" s="1"/>
  <c r="F99" i="3" s="1"/>
  <c r="D97" i="3"/>
  <c r="D98" i="3" s="1"/>
  <c r="D99" i="3" s="1"/>
  <c r="E94" i="3"/>
  <c r="D102" i="3"/>
  <c r="G93" i="3"/>
  <c r="E92" i="3"/>
  <c r="G39" i="5"/>
  <c r="D49" i="5"/>
  <c r="G41" i="5"/>
  <c r="G94" i="5"/>
  <c r="C50" i="2"/>
  <c r="D97" i="5"/>
  <c r="D98" i="5" s="1"/>
  <c r="D99" i="5" s="1"/>
  <c r="B57" i="4"/>
  <c r="B69" i="4" s="1"/>
  <c r="D44" i="5"/>
  <c r="D45" i="5" s="1"/>
  <c r="D46" i="5" s="1"/>
  <c r="G91" i="3" l="1"/>
  <c r="G94" i="4"/>
  <c r="G93" i="4"/>
  <c r="G92" i="4"/>
  <c r="F99" i="4"/>
  <c r="E94" i="4"/>
  <c r="G91" i="5"/>
  <c r="G92" i="5"/>
  <c r="E92" i="5"/>
  <c r="E91" i="3"/>
  <c r="G94" i="3"/>
  <c r="G38" i="4"/>
  <c r="G41" i="4"/>
  <c r="E38" i="4"/>
  <c r="E39" i="4"/>
  <c r="E40" i="4"/>
  <c r="E41" i="4"/>
  <c r="G39" i="4"/>
  <c r="G40" i="4"/>
  <c r="G40" i="5"/>
  <c r="G38" i="5"/>
  <c r="G42" i="5" s="1"/>
  <c r="G93" i="5"/>
  <c r="E40" i="5"/>
  <c r="E41" i="5"/>
  <c r="E38" i="5"/>
  <c r="E94" i="5"/>
  <c r="E91" i="5"/>
  <c r="F46" i="3"/>
  <c r="G40" i="3"/>
  <c r="G42" i="3" s="1"/>
  <c r="E39" i="5"/>
  <c r="D46" i="3"/>
  <c r="E39" i="3"/>
  <c r="E41" i="3"/>
  <c r="E93" i="5"/>
  <c r="D99" i="4"/>
  <c r="E92" i="4"/>
  <c r="E93" i="4"/>
  <c r="E93" i="3"/>
  <c r="G92" i="3"/>
  <c r="E38" i="3"/>
  <c r="G95" i="3" l="1"/>
  <c r="D103" i="3"/>
  <c r="D104" i="3" s="1"/>
  <c r="G95" i="4"/>
  <c r="E95" i="4"/>
  <c r="D105" i="4"/>
  <c r="G95" i="5"/>
  <c r="D105" i="3"/>
  <c r="E95" i="3"/>
  <c r="E42" i="4"/>
  <c r="D52" i="4"/>
  <c r="D50" i="4"/>
  <c r="G68" i="4" s="1"/>
  <c r="H68" i="4" s="1"/>
  <c r="G42" i="4"/>
  <c r="D103" i="4"/>
  <c r="E113" i="4" s="1"/>
  <c r="F113" i="4" s="1"/>
  <c r="D50" i="5"/>
  <c r="D51" i="5" s="1"/>
  <c r="E42" i="5"/>
  <c r="D52" i="5"/>
  <c r="E111" i="3"/>
  <c r="F111" i="3" s="1"/>
  <c r="D103" i="5"/>
  <c r="E95" i="5"/>
  <c r="D105" i="5"/>
  <c r="D52" i="3"/>
  <c r="E42" i="3"/>
  <c r="D50" i="3"/>
  <c r="E108" i="3" l="1"/>
  <c r="E110" i="3"/>
  <c r="F110" i="3" s="1"/>
  <c r="E109" i="3"/>
  <c r="F109" i="3" s="1"/>
  <c r="E112" i="3"/>
  <c r="F112" i="3" s="1"/>
  <c r="E113" i="3"/>
  <c r="F113" i="3" s="1"/>
  <c r="D104" i="4"/>
  <c r="E108" i="4"/>
  <c r="F108" i="4" s="1"/>
  <c r="D51" i="4"/>
  <c r="G66" i="4"/>
  <c r="H66" i="4" s="1"/>
  <c r="G69" i="4"/>
  <c r="H69" i="4" s="1"/>
  <c r="G67" i="4"/>
  <c r="H67" i="4" s="1"/>
  <c r="G65" i="4"/>
  <c r="H65" i="4" s="1"/>
  <c r="G62" i="4"/>
  <c r="H62" i="4" s="1"/>
  <c r="G63" i="4"/>
  <c r="H63" i="4" s="1"/>
  <c r="G60" i="4"/>
  <c r="H60" i="4" s="1"/>
  <c r="G71" i="4"/>
  <c r="H71" i="4" s="1"/>
  <c r="E109" i="4"/>
  <c r="F109" i="4" s="1"/>
  <c r="E110" i="4"/>
  <c r="F110" i="4" s="1"/>
  <c r="E111" i="4"/>
  <c r="F111" i="4" s="1"/>
  <c r="E112" i="4"/>
  <c r="F112" i="4" s="1"/>
  <c r="G61" i="4"/>
  <c r="H61" i="4" s="1"/>
  <c r="G70" i="4"/>
  <c r="H70" i="4" s="1"/>
  <c r="G64" i="4"/>
  <c r="H64" i="4" s="1"/>
  <c r="G64" i="5"/>
  <c r="H64" i="5" s="1"/>
  <c r="G71" i="5"/>
  <c r="H71" i="5" s="1"/>
  <c r="G61" i="5"/>
  <c r="H61" i="5" s="1"/>
  <c r="G65" i="5"/>
  <c r="H65" i="5" s="1"/>
  <c r="G66" i="5"/>
  <c r="H66" i="5" s="1"/>
  <c r="G67" i="5"/>
  <c r="H67" i="5" s="1"/>
  <c r="G62" i="5"/>
  <c r="H62" i="5" s="1"/>
  <c r="G68" i="5"/>
  <c r="H68" i="5" s="1"/>
  <c r="G70" i="5"/>
  <c r="H70" i="5" s="1"/>
  <c r="G60" i="5"/>
  <c r="H60" i="5" s="1"/>
  <c r="G69" i="5"/>
  <c r="H69" i="5" s="1"/>
  <c r="G63" i="5"/>
  <c r="H63" i="5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3" i="3"/>
  <c r="H63" i="3" s="1"/>
  <c r="G67" i="3"/>
  <c r="H67" i="3" s="1"/>
  <c r="G70" i="3"/>
  <c r="H70" i="3" s="1"/>
  <c r="G65" i="3"/>
  <c r="H65" i="3" s="1"/>
  <c r="G61" i="3"/>
  <c r="H61" i="3" s="1"/>
  <c r="D51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F108" i="3"/>
  <c r="E117" i="3" l="1"/>
  <c r="E115" i="3"/>
  <c r="E116" i="3" s="1"/>
  <c r="E119" i="3"/>
  <c r="E120" i="3"/>
  <c r="E115" i="4"/>
  <c r="E116" i="4" s="1"/>
  <c r="G72" i="4"/>
  <c r="G73" i="4" s="1"/>
  <c r="E117" i="4"/>
  <c r="G74" i="4"/>
  <c r="E120" i="4"/>
  <c r="E119" i="4"/>
  <c r="G72" i="5"/>
  <c r="G73" i="5" s="1"/>
  <c r="G74" i="5"/>
  <c r="F119" i="4"/>
  <c r="F125" i="4"/>
  <c r="F120" i="4"/>
  <c r="F117" i="4"/>
  <c r="D125" i="4"/>
  <c r="F115" i="4"/>
  <c r="H60" i="3"/>
  <c r="G74" i="3"/>
  <c r="G72" i="3"/>
  <c r="G73" i="3" s="1"/>
  <c r="E120" i="5"/>
  <c r="E117" i="5"/>
  <c r="F108" i="5"/>
  <c r="E115" i="5"/>
  <c r="E116" i="5" s="1"/>
  <c r="E119" i="5"/>
  <c r="F125" i="3"/>
  <c r="F120" i="3"/>
  <c r="F117" i="3"/>
  <c r="D125" i="3"/>
  <c r="F115" i="3"/>
  <c r="F119" i="3"/>
  <c r="H74" i="5"/>
  <c r="H72" i="5"/>
  <c r="H74" i="4"/>
  <c r="H72" i="4"/>
  <c r="H72" i="3" l="1"/>
  <c r="H74" i="3"/>
  <c r="G76" i="5"/>
  <c r="H73" i="5"/>
  <c r="G76" i="4"/>
  <c r="H73" i="4"/>
  <c r="F125" i="5"/>
  <c r="F120" i="5"/>
  <c r="F117" i="5"/>
  <c r="D125" i="5"/>
  <c r="F115" i="5"/>
  <c r="F119" i="5"/>
  <c r="G124" i="3"/>
  <c r="F116" i="3"/>
  <c r="G124" i="4"/>
  <c r="F116" i="4"/>
  <c r="G124" i="5" l="1"/>
  <c r="F116" i="5"/>
  <c r="G76" i="3"/>
  <c r="H73" i="3"/>
</calcChain>
</file>

<file path=xl/sharedStrings.xml><?xml version="1.0" encoding="utf-8"?>
<sst xmlns="http://schemas.openxmlformats.org/spreadsheetml/2006/main" count="669" uniqueCount="144">
  <si>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</si>
  <si>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</si>
  <si>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</si>
  <si>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</si>
  <si>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</si>
  <si>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 300 MG/ 600 MG</t>
  </si>
  <si>
    <t>% age Purity:</t>
  </si>
  <si>
    <t>NDQB201707003</t>
  </si>
  <si>
    <t>Weight (mg):</t>
  </si>
  <si>
    <t>Tenofovir Disoproxil Fumarate 300mg, Lamivudine 300mg &amp; Efavirenz 600mg tablets</t>
  </si>
  <si>
    <t>Standard Conc (mg/mL):</t>
  </si>
  <si>
    <t>each film coated tablets tenofovir disoproxil fumarate 300mg, lamivudine USP 300mg ,Efavirenz USP 400mg</t>
  </si>
  <si>
    <t>2017-07-13 11:24:50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</si>
  <si>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</si>
  <si>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</si>
  <si>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</si>
  <si>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</si>
  <si>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</si>
  <si>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</si>
  <si>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</si>
  <si>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</si>
  <si>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</si>
  <si>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</si>
  <si>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</si>
  <si>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</si>
  <si>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</si>
  <si>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</si>
  <si>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</si>
  <si>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</si>
  <si>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</si>
  <si>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</si>
  <si>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</si>
  <si>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</si>
  <si>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</si>
  <si>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</si>
  <si>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</si>
  <si>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</si>
  <si>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</si>
  <si>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</si>
  <si>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</si>
  <si>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</si>
  <si>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</si>
  <si>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</si>
  <si>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</si>
  <si>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</si>
  <si>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</si>
  <si>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</si>
  <si>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</si>
  <si>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</si>
  <si>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</si>
  <si>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</si>
  <si>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</si>
  <si>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</si>
  <si>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</si>
  <si>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</si>
  <si>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</si>
  <si>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</si>
  <si>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</si>
  <si>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</si>
  <si>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</si>
  <si>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</si>
  <si>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</si>
  <si>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</si>
  <si>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</si>
  <si>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</si>
  <si>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</si>
  <si>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</si>
  <si>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</si>
  <si>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</si>
  <si>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</si>
  <si>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</si>
  <si>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</si>
  <si>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</si>
  <si>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</si>
  <si>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</si>
  <si>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</si>
  <si>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</si>
  <si>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</si>
  <si>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</si>
  <si>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</si>
  <si>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</si>
  <si>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</si>
  <si>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</si>
  <si>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</si>
  <si>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</si>
  <si>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</si>
  <si>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</si>
  <si>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</si>
  <si>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</si>
  <si>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</si>
  <si>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</si>
  <si>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</si>
  <si>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</si>
  <si>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</si>
  <si>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</si>
  <si>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</si>
  <si>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</si>
  <si>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</si>
  <si>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</si>
  <si>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</si>
  <si>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</si>
  <si>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</si>
  <si>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</si>
  <si>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</si>
  <si>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</si>
  <si>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</si>
  <si>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</si>
  <si>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</si>
  <si>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</si>
  <si>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</si>
  <si>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</si>
  <si>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</si>
  <si>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</si>
  <si>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</si>
  <si>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</si>
  <si>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</si>
  <si>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</si>
  <si>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</si>
  <si>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</si>
  <si>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</si>
  <si>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</si>
  <si>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</si>
  <si>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</si>
  <si>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</si>
  <si>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</si>
  <si>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</si>
  <si>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</si>
  <si>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</si>
  <si>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</si>
  <si>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</si>
  <si>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</si>
  <si>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Efavirenz </t>
  </si>
  <si>
    <t>E15-6</t>
  </si>
  <si>
    <t xml:space="preserve"> Lamivudine </t>
  </si>
  <si>
    <t>L3-10</t>
  </si>
  <si>
    <t xml:space="preserve">Tenofovir Disoproxil Fumarate </t>
  </si>
  <si>
    <t>T11-10</t>
  </si>
  <si>
    <t>TENOFOVIR DISOPROXIL FUMARATE/  LAMIVUDINE/ EFAVIRENZ  TABLETS 300 MG/300 MG /600 MG</t>
  </si>
  <si>
    <t>Efavirenz</t>
  </si>
  <si>
    <t>Resolution(USP)</t>
  </si>
  <si>
    <t>The number of Theoretical Plates (USP) for all peaks should be NLT 10000</t>
  </si>
  <si>
    <t>RUTTO KENNEDY</t>
  </si>
  <si>
    <t xml:space="preserve">                         Tenofovir Disoproxil Fumarate 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</si>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</sst>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15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2" workbookViewId="0">
      <selection activeCell="B25" sqref="B25"/>
    </sheetView>
  </sheetViews>
  <sheetFormatPr defaultRowHeight="13.5" x14ac:dyDescent="0.25"/>
  <cols>
    <col min="1" max="1" width="27.5703125" style="614" customWidth="1"/>
    <col min="2" max="2" width="20.42578125" style="614" customWidth="1"/>
    <col min="3" max="3" width="31.85546875" style="614" customWidth="1"/>
    <col min="4" max="5" width="25.85546875" style="614" customWidth="1"/>
    <col min="6" max="6" width="25.7109375" style="614" customWidth="1"/>
    <col min="7" max="7" width="23.140625" style="614" customWidth="1"/>
    <col min="8" max="8" width="28.42578125" style="614" customWidth="1"/>
    <col min="9" max="9" width="21.5703125" style="614" customWidth="1"/>
    <col min="10" max="10" width="9.140625" style="614" customWidth="1"/>
    <col min="11" max="16384" width="9.140625" style="650"/>
  </cols>
  <sheetData>
    <row r="14" spans="1:7" ht="15" customHeight="1" x14ac:dyDescent="0.3">
      <c r="A14" s="613"/>
      <c r="C14" s="615"/>
      <c r="G14" s="615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6" t="s">
        <v>1</v>
      </c>
      <c r="B16" s="617" t="s">
        <v>2</v>
      </c>
    </row>
    <row r="17" spans="1:6" ht="16.5" customHeight="1" x14ac:dyDescent="0.3">
      <c r="A17" s="618" t="s">
        <v>3</v>
      </c>
      <c r="B17" s="618" t="s">
        <v>137</v>
      </c>
      <c r="D17" s="619"/>
      <c r="E17" s="619"/>
      <c r="F17" s="620"/>
    </row>
    <row r="18" spans="1:6" ht="16.5" customHeight="1" x14ac:dyDescent="0.3">
      <c r="A18" s="621" t="s">
        <v>4</v>
      </c>
      <c r="B18" s="622" t="s">
        <v>142</v>
      </c>
      <c r="C18" s="620"/>
      <c r="D18" s="620"/>
      <c r="E18" s="620"/>
      <c r="F18" s="620"/>
    </row>
    <row r="19" spans="1:6" ht="16.5" customHeight="1" x14ac:dyDescent="0.3">
      <c r="A19" s="621" t="s">
        <v>6</v>
      </c>
      <c r="B19" s="622">
        <v>99.54</v>
      </c>
      <c r="C19" s="620"/>
      <c r="D19" s="620"/>
      <c r="E19" s="620"/>
      <c r="F19" s="620"/>
    </row>
    <row r="20" spans="1:6" ht="16.5" customHeight="1" x14ac:dyDescent="0.3">
      <c r="A20" s="618" t="s">
        <v>8</v>
      </c>
      <c r="B20" s="622">
        <v>11.3</v>
      </c>
      <c r="C20" s="620"/>
      <c r="D20" s="620"/>
      <c r="E20" s="620"/>
      <c r="F20" s="620"/>
    </row>
    <row r="21" spans="1:6" ht="16.5" customHeight="1" x14ac:dyDescent="0.3">
      <c r="A21" s="618" t="s">
        <v>10</v>
      </c>
      <c r="B21" s="623">
        <f>B20/100</f>
        <v>0.113</v>
      </c>
      <c r="C21" s="620"/>
      <c r="D21" s="620"/>
      <c r="E21" s="620"/>
      <c r="F21" s="620"/>
    </row>
    <row r="22" spans="1:6" ht="15.75" customHeight="1" x14ac:dyDescent="0.25">
      <c r="A22" s="620"/>
      <c r="B22" s="620"/>
      <c r="C22" s="620"/>
      <c r="D22" s="620"/>
      <c r="E22" s="620"/>
      <c r="F22" s="620"/>
    </row>
    <row r="23" spans="1:6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139</v>
      </c>
      <c r="F23" s="624" t="s">
        <v>17</v>
      </c>
    </row>
    <row r="24" spans="1:6" ht="16.5" customHeight="1" x14ac:dyDescent="0.3">
      <c r="A24" s="626">
        <v>1</v>
      </c>
      <c r="B24" s="627">
        <v>9722180</v>
      </c>
      <c r="C24" s="627">
        <v>43315</v>
      </c>
      <c r="D24" s="628">
        <v>1.1000000000000001</v>
      </c>
      <c r="E24" s="628">
        <v>43.2</v>
      </c>
      <c r="F24" s="629">
        <v>16</v>
      </c>
    </row>
    <row r="25" spans="1:6" ht="16.5" customHeight="1" x14ac:dyDescent="0.3">
      <c r="A25" s="626">
        <v>2</v>
      </c>
      <c r="B25" s="627">
        <v>9752828</v>
      </c>
      <c r="C25" s="627">
        <v>43066.5</v>
      </c>
      <c r="D25" s="628">
        <v>1.1000000000000001</v>
      </c>
      <c r="E25" s="628">
        <v>43.2</v>
      </c>
      <c r="F25" s="628">
        <v>16</v>
      </c>
    </row>
    <row r="26" spans="1:6" ht="16.5" customHeight="1" x14ac:dyDescent="0.3">
      <c r="A26" s="626">
        <v>3</v>
      </c>
      <c r="B26" s="627">
        <v>9715168</v>
      </c>
      <c r="C26" s="627">
        <v>43341.5</v>
      </c>
      <c r="D26" s="628">
        <v>1.1000000000000001</v>
      </c>
      <c r="E26" s="628">
        <v>43.4</v>
      </c>
      <c r="F26" s="628">
        <v>16</v>
      </c>
    </row>
    <row r="27" spans="1:6" ht="16.5" customHeight="1" x14ac:dyDescent="0.3">
      <c r="A27" s="626">
        <v>4</v>
      </c>
      <c r="B27" s="627">
        <v>9731931</v>
      </c>
      <c r="C27" s="627">
        <v>42756.2</v>
      </c>
      <c r="D27" s="628">
        <v>1.1000000000000001</v>
      </c>
      <c r="E27" s="628">
        <v>43.2</v>
      </c>
      <c r="F27" s="628">
        <v>16</v>
      </c>
    </row>
    <row r="28" spans="1:6" ht="16.5" customHeight="1" x14ac:dyDescent="0.3">
      <c r="A28" s="626">
        <v>5</v>
      </c>
      <c r="B28" s="627">
        <v>9666731</v>
      </c>
      <c r="C28" s="627">
        <v>42861.1</v>
      </c>
      <c r="D28" s="628">
        <v>1.1000000000000001</v>
      </c>
      <c r="E28" s="628">
        <v>43.3</v>
      </c>
      <c r="F28" s="628">
        <v>16</v>
      </c>
    </row>
    <row r="29" spans="1:6" ht="16.5" customHeight="1" x14ac:dyDescent="0.3">
      <c r="A29" s="626">
        <v>6</v>
      </c>
      <c r="B29" s="630">
        <v>9784286</v>
      </c>
      <c r="C29" s="630">
        <v>42939.6</v>
      </c>
      <c r="D29" s="631">
        <v>1.1000000000000001</v>
      </c>
      <c r="E29" s="631">
        <v>43.1</v>
      </c>
      <c r="F29" s="631">
        <v>16</v>
      </c>
    </row>
    <row r="30" spans="1:6" ht="16.5" customHeight="1" x14ac:dyDescent="0.3">
      <c r="A30" s="632" t="s">
        <v>18</v>
      </c>
      <c r="B30" s="633">
        <f>AVERAGE(B24:B29)</f>
        <v>9728854</v>
      </c>
      <c r="C30" s="634">
        <f>AVERAGE(C24:C29)</f>
        <v>43046.65</v>
      </c>
      <c r="D30" s="635">
        <f>AVERAGE(D24:D29)</f>
        <v>1.0999999999999999</v>
      </c>
      <c r="E30" s="635">
        <f>AVERAGE(E24:E29)</f>
        <v>43.233333333333341</v>
      </c>
      <c r="F30" s="635">
        <f>AVERAGE(F24:F29)</f>
        <v>16</v>
      </c>
    </row>
    <row r="31" spans="1:6" ht="16.5" customHeight="1" x14ac:dyDescent="0.3">
      <c r="A31" s="636" t="s">
        <v>19</v>
      </c>
      <c r="B31" s="637">
        <f>(STDEV(B24:B29)/B30)</f>
        <v>4.0462184811820741E-3</v>
      </c>
      <c r="C31" s="638"/>
      <c r="D31" s="638"/>
      <c r="E31" s="638"/>
      <c r="F31" s="639"/>
    </row>
    <row r="32" spans="1:6" s="614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3"/>
      <c r="F32" s="644"/>
    </row>
    <row r="33" spans="1:6" s="614" customFormat="1" ht="15.75" customHeight="1" x14ac:dyDescent="0.25">
      <c r="A33" s="620"/>
      <c r="B33" s="620"/>
      <c r="C33" s="620"/>
      <c r="D33" s="620"/>
      <c r="E33" s="620"/>
      <c r="F33" s="620"/>
    </row>
    <row r="34" spans="1:6" s="614" customFormat="1" ht="16.5" customHeight="1" x14ac:dyDescent="0.3">
      <c r="A34" s="621" t="s">
        <v>21</v>
      </c>
      <c r="B34" s="645" t="s">
        <v>22</v>
      </c>
      <c r="C34" s="646"/>
      <c r="D34" s="646"/>
      <c r="E34" s="646"/>
      <c r="F34" s="646"/>
    </row>
    <row r="35" spans="1:6" ht="16.5" customHeight="1" x14ac:dyDescent="0.3">
      <c r="A35" s="621"/>
      <c r="B35" s="645" t="s">
        <v>140</v>
      </c>
      <c r="C35" s="646"/>
      <c r="D35" s="646"/>
      <c r="E35" s="646"/>
      <c r="F35" s="646"/>
    </row>
    <row r="36" spans="1:6" ht="16.5" customHeight="1" x14ac:dyDescent="0.3">
      <c r="A36" s="621"/>
      <c r="B36" s="645" t="s">
        <v>24</v>
      </c>
      <c r="C36" s="646"/>
      <c r="D36" s="646"/>
      <c r="E36" s="646"/>
      <c r="F36" s="646"/>
    </row>
    <row r="37" spans="1:6" ht="15.75" customHeight="1" x14ac:dyDescent="0.25">
      <c r="A37" s="620"/>
      <c r="B37" s="620"/>
      <c r="C37" s="620"/>
      <c r="D37" s="620"/>
      <c r="E37" s="620"/>
      <c r="F37" s="620"/>
    </row>
    <row r="38" spans="1:6" ht="16.5" customHeight="1" x14ac:dyDescent="0.3">
      <c r="A38" s="616" t="s">
        <v>1</v>
      </c>
      <c r="B38" s="617" t="s">
        <v>25</v>
      </c>
    </row>
    <row r="39" spans="1:6" ht="16.5" customHeight="1" x14ac:dyDescent="0.3">
      <c r="A39" s="621" t="s">
        <v>4</v>
      </c>
      <c r="B39" s="622" t="s">
        <v>142</v>
      </c>
      <c r="C39" s="620"/>
      <c r="D39" s="620"/>
      <c r="E39" s="620"/>
      <c r="F39" s="620"/>
    </row>
    <row r="40" spans="1:6" ht="16.5" customHeight="1" x14ac:dyDescent="0.3">
      <c r="A40" s="621" t="s">
        <v>6</v>
      </c>
      <c r="B40" s="622">
        <v>99.54</v>
      </c>
      <c r="C40" s="620"/>
      <c r="D40" s="620"/>
      <c r="E40" s="620"/>
      <c r="F40" s="620"/>
    </row>
    <row r="41" spans="1:6" ht="16.5" customHeight="1" x14ac:dyDescent="0.3">
      <c r="A41" s="618" t="s">
        <v>8</v>
      </c>
      <c r="B41" s="622">
        <v>15.15</v>
      </c>
      <c r="C41" s="620"/>
      <c r="D41" s="620"/>
      <c r="E41" s="620"/>
      <c r="F41" s="620"/>
    </row>
    <row r="42" spans="1:6" ht="16.5" customHeight="1" x14ac:dyDescent="0.3">
      <c r="A42" s="618" t="s">
        <v>10</v>
      </c>
      <c r="B42" s="623">
        <f>15.15/50</f>
        <v>0.30299999999999999</v>
      </c>
      <c r="C42" s="620"/>
      <c r="D42" s="620"/>
      <c r="E42" s="620"/>
      <c r="F42" s="620"/>
    </row>
    <row r="43" spans="1:6" ht="15.75" customHeight="1" x14ac:dyDescent="0.25">
      <c r="A43" s="620"/>
      <c r="B43" s="620"/>
      <c r="C43" s="620"/>
      <c r="D43" s="620"/>
      <c r="E43" s="620"/>
      <c r="F43" s="620"/>
    </row>
    <row r="44" spans="1:6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139</v>
      </c>
      <c r="F44" s="624" t="s">
        <v>17</v>
      </c>
    </row>
    <row r="45" spans="1:6" ht="16.5" customHeight="1" x14ac:dyDescent="0.3">
      <c r="A45" s="626">
        <v>1</v>
      </c>
      <c r="B45" s="627">
        <v>3701715</v>
      </c>
      <c r="C45" s="627">
        <v>10587</v>
      </c>
      <c r="D45" s="628">
        <v>1.39</v>
      </c>
      <c r="E45" s="628">
        <v>17.48</v>
      </c>
      <c r="F45" s="629">
        <v>7.96</v>
      </c>
    </row>
    <row r="46" spans="1:6" ht="16.5" customHeight="1" x14ac:dyDescent="0.3">
      <c r="A46" s="626">
        <v>2</v>
      </c>
      <c r="B46" s="627">
        <v>3696160</v>
      </c>
      <c r="C46" s="627">
        <v>10535</v>
      </c>
      <c r="D46" s="628">
        <v>1.38</v>
      </c>
      <c r="E46" s="628">
        <v>17.260000000000002</v>
      </c>
      <c r="F46" s="628">
        <v>7.97</v>
      </c>
    </row>
    <row r="47" spans="1:6" ht="16.5" customHeight="1" x14ac:dyDescent="0.3">
      <c r="A47" s="626">
        <v>3</v>
      </c>
      <c r="B47" s="627">
        <v>3707017</v>
      </c>
      <c r="C47" s="627">
        <v>10593</v>
      </c>
      <c r="D47" s="628">
        <v>1.39</v>
      </c>
      <c r="E47" s="628">
        <v>17.329999999999998</v>
      </c>
      <c r="F47" s="628">
        <v>7.97</v>
      </c>
    </row>
    <row r="48" spans="1:6" ht="16.5" customHeight="1" x14ac:dyDescent="0.3">
      <c r="A48" s="626">
        <v>4</v>
      </c>
      <c r="B48" s="627">
        <v>3689986</v>
      </c>
      <c r="C48" s="627">
        <v>10565</v>
      </c>
      <c r="D48" s="628">
        <v>1.38</v>
      </c>
      <c r="E48" s="628">
        <v>17.29</v>
      </c>
      <c r="F48" s="628">
        <v>7.97</v>
      </c>
    </row>
    <row r="49" spans="1:8" ht="16.5" customHeight="1" x14ac:dyDescent="0.3">
      <c r="A49" s="626">
        <v>5</v>
      </c>
      <c r="B49" s="627">
        <v>3735683</v>
      </c>
      <c r="C49" s="627">
        <v>10422</v>
      </c>
      <c r="D49" s="628">
        <v>1.38</v>
      </c>
      <c r="E49" s="628">
        <v>17.079999999999998</v>
      </c>
      <c r="F49" s="628">
        <v>7.97</v>
      </c>
    </row>
    <row r="50" spans="1:8" ht="16.5" customHeight="1" x14ac:dyDescent="0.3">
      <c r="A50" s="626">
        <v>6</v>
      </c>
      <c r="B50" s="630">
        <v>3711073</v>
      </c>
      <c r="C50" s="630">
        <v>10326</v>
      </c>
      <c r="D50" s="631">
        <v>1.41</v>
      </c>
      <c r="E50" s="631">
        <v>17.12</v>
      </c>
      <c r="F50" s="631">
        <v>7.97</v>
      </c>
    </row>
    <row r="51" spans="1:8" ht="16.5" customHeight="1" x14ac:dyDescent="0.3">
      <c r="A51" s="632" t="s">
        <v>18</v>
      </c>
      <c r="B51" s="633">
        <f>AVERAGE(B45:B50)</f>
        <v>3706939</v>
      </c>
      <c r="C51" s="634">
        <f>AVERAGE(C45:C50)</f>
        <v>10504.666666666666</v>
      </c>
      <c r="D51" s="635">
        <f>AVERAGE(D45:D50)</f>
        <v>1.388333333333333</v>
      </c>
      <c r="E51" s="635">
        <f>AVERAGE(E45:E50)</f>
        <v>17.260000000000002</v>
      </c>
      <c r="F51" s="635">
        <f>AVERAGE(F45:F50)</f>
        <v>7.9683333333333328</v>
      </c>
    </row>
    <row r="52" spans="1:8" ht="16.5" customHeight="1" x14ac:dyDescent="0.3">
      <c r="A52" s="636" t="s">
        <v>19</v>
      </c>
      <c r="B52" s="637">
        <f>(STDEV(B45:B50)/B51)</f>
        <v>4.3064307993352768E-3</v>
      </c>
      <c r="C52" s="638"/>
      <c r="D52" s="638"/>
      <c r="E52" s="638"/>
      <c r="F52" s="639"/>
    </row>
    <row r="53" spans="1:8" s="614" customFormat="1" ht="16.5" customHeight="1" x14ac:dyDescent="0.3">
      <c r="A53" s="640" t="s">
        <v>20</v>
      </c>
      <c r="B53" s="641">
        <f>COUNT(B45:B50)</f>
        <v>6</v>
      </c>
      <c r="C53" s="642"/>
      <c r="D53" s="643"/>
      <c r="E53" s="643"/>
      <c r="F53" s="644"/>
    </row>
    <row r="54" spans="1:8" s="614" customFormat="1" ht="15.75" customHeight="1" x14ac:dyDescent="0.25">
      <c r="A54" s="620"/>
      <c r="B54" s="620"/>
      <c r="C54" s="620"/>
      <c r="D54" s="620"/>
      <c r="E54" s="620"/>
      <c r="F54" s="620"/>
    </row>
    <row r="55" spans="1:8" s="614" customFormat="1" ht="16.5" customHeight="1" x14ac:dyDescent="0.3">
      <c r="A55" s="621" t="s">
        <v>21</v>
      </c>
      <c r="B55" s="645" t="s">
        <v>22</v>
      </c>
      <c r="C55" s="646"/>
      <c r="D55" s="646"/>
      <c r="E55" s="646"/>
      <c r="F55" s="646"/>
    </row>
    <row r="56" spans="1:8" ht="16.5" customHeight="1" x14ac:dyDescent="0.3">
      <c r="A56" s="621"/>
      <c r="B56" s="645" t="s">
        <v>23</v>
      </c>
      <c r="C56" s="646"/>
      <c r="D56" s="646"/>
      <c r="E56" s="646"/>
      <c r="F56" s="646"/>
    </row>
    <row r="57" spans="1:8" ht="16.5" customHeight="1" x14ac:dyDescent="0.3">
      <c r="A57" s="621"/>
      <c r="B57" s="645" t="s">
        <v>24</v>
      </c>
      <c r="C57" s="646"/>
      <c r="D57" s="646"/>
      <c r="E57" s="646"/>
      <c r="F57" s="646"/>
    </row>
    <row r="58" spans="1:8" ht="14.25" customHeight="1" thickBot="1" x14ac:dyDescent="0.3">
      <c r="A58" s="647"/>
      <c r="B58" s="648"/>
      <c r="D58" s="649"/>
      <c r="E58" s="657"/>
      <c r="G58" s="650"/>
      <c r="H58" s="650"/>
    </row>
    <row r="59" spans="1:8" ht="15" customHeight="1" x14ac:dyDescent="0.3">
      <c r="B59" s="660" t="s">
        <v>26</v>
      </c>
      <c r="C59" s="660"/>
      <c r="F59" s="651" t="s">
        <v>27</v>
      </c>
      <c r="G59" s="652"/>
      <c r="H59" s="651" t="s">
        <v>28</v>
      </c>
    </row>
    <row r="60" spans="1:8" ht="15" customHeight="1" x14ac:dyDescent="0.3">
      <c r="A60" s="653" t="s">
        <v>29</v>
      </c>
      <c r="B60" s="654" t="s">
        <v>141</v>
      </c>
      <c r="C60" s="654"/>
      <c r="F60" s="658">
        <v>43006</v>
      </c>
      <c r="H60" s="654"/>
    </row>
    <row r="61" spans="1:8" ht="15" customHeight="1" x14ac:dyDescent="0.3">
      <c r="A61" s="653" t="s">
        <v>30</v>
      </c>
      <c r="B61" s="655"/>
      <c r="C61" s="655"/>
      <c r="F61" s="655"/>
      <c r="H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9" sqref="B29"/>
    </sheetView>
  </sheetViews>
  <sheetFormatPr defaultRowHeight="13.5" x14ac:dyDescent="0.25"/>
  <cols>
    <col min="1" max="1" width="27.5703125" style="614" customWidth="1"/>
    <col min="2" max="2" width="20.42578125" style="614" customWidth="1"/>
    <col min="3" max="3" width="31.85546875" style="614" customWidth="1"/>
    <col min="4" max="4" width="25.85546875" style="614" customWidth="1"/>
    <col min="5" max="5" width="25.7109375" style="614" customWidth="1"/>
    <col min="6" max="6" width="23.140625" style="614" customWidth="1"/>
    <col min="7" max="7" width="28.42578125" style="614" customWidth="1"/>
    <col min="8" max="8" width="21.5703125" style="614" customWidth="1"/>
    <col min="9" max="9" width="9.140625" style="614" customWidth="1"/>
    <col min="10" max="16384" width="9.140625" style="650"/>
  </cols>
  <sheetData>
    <row r="14" spans="1:6" ht="15" customHeight="1" x14ac:dyDescent="0.3">
      <c r="A14" s="613"/>
      <c r="C14" s="615"/>
      <c r="F14" s="615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616" t="s">
        <v>1</v>
      </c>
      <c r="B16" s="617" t="s">
        <v>2</v>
      </c>
    </row>
    <row r="17" spans="1:5" ht="16.5" customHeight="1" x14ac:dyDescent="0.3">
      <c r="A17" s="618" t="s">
        <v>3</v>
      </c>
      <c r="B17" s="618" t="s">
        <v>137</v>
      </c>
      <c r="D17" s="619"/>
      <c r="E17" s="620"/>
    </row>
    <row r="18" spans="1:5" ht="16.5" customHeight="1" x14ac:dyDescent="0.3">
      <c r="A18" s="621" t="s">
        <v>4</v>
      </c>
      <c r="B18" s="618" t="s">
        <v>143</v>
      </c>
      <c r="C18" s="620"/>
      <c r="D18" s="620"/>
      <c r="E18" s="620"/>
    </row>
    <row r="19" spans="1:5" ht="16.5" customHeight="1" x14ac:dyDescent="0.3">
      <c r="A19" s="621" t="s">
        <v>6</v>
      </c>
      <c r="B19" s="622">
        <v>99.39</v>
      </c>
      <c r="C19" s="620"/>
      <c r="D19" s="620"/>
      <c r="E19" s="620"/>
    </row>
    <row r="20" spans="1:5" ht="16.5" customHeight="1" x14ac:dyDescent="0.3">
      <c r="A20" s="618" t="s">
        <v>8</v>
      </c>
      <c r="B20" s="622">
        <v>12.22</v>
      </c>
      <c r="C20" s="620"/>
      <c r="D20" s="620"/>
      <c r="E20" s="620"/>
    </row>
    <row r="21" spans="1:5" ht="16.5" customHeight="1" x14ac:dyDescent="0.3">
      <c r="A21" s="618" t="s">
        <v>10</v>
      </c>
      <c r="B21" s="623">
        <f>B20/100</f>
        <v>0.1222</v>
      </c>
      <c r="C21" s="620"/>
      <c r="D21" s="620"/>
      <c r="E21" s="620"/>
    </row>
    <row r="22" spans="1:5" ht="15.75" customHeight="1" x14ac:dyDescent="0.25">
      <c r="A22" s="620"/>
      <c r="B22" s="620"/>
      <c r="C22" s="620"/>
      <c r="D22" s="620"/>
      <c r="E22" s="620"/>
    </row>
    <row r="23" spans="1:5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17</v>
      </c>
    </row>
    <row r="24" spans="1:5" ht="16.5" customHeight="1" x14ac:dyDescent="0.3">
      <c r="A24" s="626">
        <v>1</v>
      </c>
      <c r="B24" s="627">
        <v>20748081</v>
      </c>
      <c r="C24" s="627">
        <v>4450.3999999999996</v>
      </c>
      <c r="D24" s="628">
        <v>1</v>
      </c>
      <c r="E24" s="629">
        <v>4.0999999999999996</v>
      </c>
    </row>
    <row r="25" spans="1:5" ht="16.5" customHeight="1" x14ac:dyDescent="0.3">
      <c r="A25" s="626">
        <v>2</v>
      </c>
      <c r="B25" s="627">
        <v>20814651</v>
      </c>
      <c r="C25" s="627">
        <v>4467</v>
      </c>
      <c r="D25" s="628">
        <v>1</v>
      </c>
      <c r="E25" s="628">
        <v>4.0999999999999996</v>
      </c>
    </row>
    <row r="26" spans="1:5" ht="16.5" customHeight="1" x14ac:dyDescent="0.3">
      <c r="A26" s="626">
        <v>3</v>
      </c>
      <c r="B26" s="627">
        <v>20723372</v>
      </c>
      <c r="C26" s="627">
        <v>4498.1000000000004</v>
      </c>
      <c r="D26" s="628">
        <v>1</v>
      </c>
      <c r="E26" s="628">
        <v>4.0999999999999996</v>
      </c>
    </row>
    <row r="27" spans="1:5" ht="16.5" customHeight="1" x14ac:dyDescent="0.3">
      <c r="A27" s="626">
        <v>4</v>
      </c>
      <c r="B27" s="627">
        <v>20759087</v>
      </c>
      <c r="C27" s="627">
        <v>4506.5</v>
      </c>
      <c r="D27" s="628">
        <v>1</v>
      </c>
      <c r="E27" s="628">
        <v>4.0999999999999996</v>
      </c>
    </row>
    <row r="28" spans="1:5" ht="16.5" customHeight="1" x14ac:dyDescent="0.3">
      <c r="A28" s="626">
        <v>5</v>
      </c>
      <c r="B28" s="627">
        <v>20635393</v>
      </c>
      <c r="C28" s="627">
        <v>4522.3</v>
      </c>
      <c r="D28" s="628">
        <v>1</v>
      </c>
      <c r="E28" s="628">
        <v>4.0999999999999996</v>
      </c>
    </row>
    <row r="29" spans="1:5" ht="16.5" customHeight="1" x14ac:dyDescent="0.3">
      <c r="A29" s="626">
        <v>6</v>
      </c>
      <c r="B29" s="630">
        <v>20850103</v>
      </c>
      <c r="C29" s="630">
        <v>4476.1000000000004</v>
      </c>
      <c r="D29" s="631">
        <v>1</v>
      </c>
      <c r="E29" s="631">
        <v>4.0999999999999996</v>
      </c>
    </row>
    <row r="30" spans="1:5" ht="16.5" customHeight="1" x14ac:dyDescent="0.3">
      <c r="A30" s="632" t="s">
        <v>18</v>
      </c>
      <c r="B30" s="633">
        <f>AVERAGE(B24:B29)</f>
        <v>20755114.5</v>
      </c>
      <c r="C30" s="634">
        <f>AVERAGE(C24:C29)</f>
        <v>4486.7333333333336</v>
      </c>
      <c r="D30" s="635">
        <f>AVERAGE(D24:D29)</f>
        <v>1</v>
      </c>
      <c r="E30" s="635">
        <f>AVERAGE(E24:E29)</f>
        <v>4.1000000000000005</v>
      </c>
    </row>
    <row r="31" spans="1:5" ht="16.5" customHeight="1" x14ac:dyDescent="0.3">
      <c r="A31" s="636" t="s">
        <v>19</v>
      </c>
      <c r="B31" s="637">
        <f>(STDEV(B24:B29)/B30)</f>
        <v>3.6038204847486589E-3</v>
      </c>
      <c r="C31" s="638"/>
      <c r="D31" s="638"/>
      <c r="E31" s="639"/>
    </row>
    <row r="32" spans="1:5" s="614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4"/>
    </row>
    <row r="33" spans="1:5" s="614" customFormat="1" ht="15.75" customHeight="1" x14ac:dyDescent="0.25">
      <c r="A33" s="620"/>
      <c r="B33" s="620"/>
      <c r="C33" s="620"/>
      <c r="D33" s="620"/>
      <c r="E33" s="620"/>
    </row>
    <row r="34" spans="1:5" s="614" customFormat="1" ht="16.5" customHeight="1" x14ac:dyDescent="0.3">
      <c r="A34" s="621" t="s">
        <v>21</v>
      </c>
      <c r="B34" s="645" t="s">
        <v>22</v>
      </c>
      <c r="C34" s="646"/>
      <c r="D34" s="646"/>
      <c r="E34" s="646"/>
    </row>
    <row r="35" spans="1:5" ht="16.5" customHeight="1" x14ac:dyDescent="0.3">
      <c r="A35" s="621"/>
      <c r="B35" s="645" t="s">
        <v>23</v>
      </c>
      <c r="C35" s="646"/>
      <c r="D35" s="646"/>
      <c r="E35" s="646"/>
    </row>
    <row r="36" spans="1:5" ht="16.5" customHeight="1" x14ac:dyDescent="0.3">
      <c r="A36" s="621"/>
      <c r="B36" s="645" t="s">
        <v>24</v>
      </c>
      <c r="C36" s="646"/>
      <c r="D36" s="646"/>
      <c r="E36" s="646"/>
    </row>
    <row r="37" spans="1:5" ht="15.75" customHeight="1" x14ac:dyDescent="0.25">
      <c r="A37" s="620"/>
      <c r="B37" s="620"/>
      <c r="C37" s="620"/>
      <c r="D37" s="620"/>
      <c r="E37" s="620"/>
    </row>
    <row r="38" spans="1:5" ht="16.5" customHeight="1" x14ac:dyDescent="0.3">
      <c r="A38" s="616" t="s">
        <v>1</v>
      </c>
      <c r="B38" s="617" t="s">
        <v>25</v>
      </c>
    </row>
    <row r="39" spans="1:5" ht="16.5" customHeight="1" x14ac:dyDescent="0.3">
      <c r="A39" s="621" t="s">
        <v>4</v>
      </c>
      <c r="B39" s="618" t="s">
        <v>143</v>
      </c>
      <c r="C39" s="620"/>
      <c r="D39" s="620"/>
      <c r="E39" s="620"/>
    </row>
    <row r="40" spans="1:5" ht="16.5" customHeight="1" x14ac:dyDescent="0.3">
      <c r="A40" s="621" t="s">
        <v>6</v>
      </c>
      <c r="B40" s="622">
        <v>99.39</v>
      </c>
      <c r="C40" s="620"/>
      <c r="D40" s="620"/>
      <c r="E40" s="620"/>
    </row>
    <row r="41" spans="1:5" ht="16.5" customHeight="1" x14ac:dyDescent="0.3">
      <c r="A41" s="618" t="s">
        <v>8</v>
      </c>
      <c r="B41" s="622">
        <v>14.95</v>
      </c>
      <c r="C41" s="620"/>
      <c r="D41" s="620"/>
      <c r="E41" s="620"/>
    </row>
    <row r="42" spans="1:5" ht="16.5" customHeight="1" x14ac:dyDescent="0.3">
      <c r="A42" s="618" t="s">
        <v>10</v>
      </c>
      <c r="B42" s="623">
        <f>14.95/50</f>
        <v>0.29899999999999999</v>
      </c>
      <c r="C42" s="620"/>
      <c r="D42" s="620"/>
      <c r="E42" s="620"/>
    </row>
    <row r="43" spans="1:5" ht="15.75" customHeight="1" x14ac:dyDescent="0.25">
      <c r="A43" s="620"/>
      <c r="B43" s="620"/>
      <c r="C43" s="620"/>
      <c r="D43" s="620"/>
      <c r="E43" s="620"/>
    </row>
    <row r="44" spans="1:5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17</v>
      </c>
    </row>
    <row r="45" spans="1:5" ht="16.5" customHeight="1" x14ac:dyDescent="0.3">
      <c r="A45" s="626">
        <v>1</v>
      </c>
      <c r="B45" s="627">
        <v>3750995</v>
      </c>
      <c r="C45" s="627">
        <v>557</v>
      </c>
      <c r="D45" s="628">
        <v>1.5</v>
      </c>
      <c r="E45" s="629">
        <v>2.12</v>
      </c>
    </row>
    <row r="46" spans="1:5" ht="16.5" customHeight="1" x14ac:dyDescent="0.3">
      <c r="A46" s="626">
        <v>2</v>
      </c>
      <c r="B46" s="627">
        <v>3743921</v>
      </c>
      <c r="C46" s="627">
        <v>533</v>
      </c>
      <c r="D46" s="628">
        <v>1.48</v>
      </c>
      <c r="E46" s="628">
        <v>2.12</v>
      </c>
    </row>
    <row r="47" spans="1:5" ht="16.5" customHeight="1" x14ac:dyDescent="0.3">
      <c r="A47" s="626">
        <v>3</v>
      </c>
      <c r="B47" s="627">
        <v>3750281</v>
      </c>
      <c r="C47" s="627">
        <v>538</v>
      </c>
      <c r="D47" s="628">
        <v>1.47</v>
      </c>
      <c r="E47" s="628">
        <v>2.12</v>
      </c>
    </row>
    <row r="48" spans="1:5" ht="16.5" customHeight="1" x14ac:dyDescent="0.3">
      <c r="A48" s="626">
        <v>4</v>
      </c>
      <c r="B48" s="627">
        <v>3710554</v>
      </c>
      <c r="C48" s="627">
        <v>535</v>
      </c>
      <c r="D48" s="628">
        <v>1.45</v>
      </c>
      <c r="E48" s="628">
        <v>2.12</v>
      </c>
    </row>
    <row r="49" spans="1:7" ht="16.5" customHeight="1" x14ac:dyDescent="0.3">
      <c r="A49" s="626">
        <v>5</v>
      </c>
      <c r="B49" s="627">
        <v>3752987</v>
      </c>
      <c r="C49" s="627">
        <v>523</v>
      </c>
      <c r="D49" s="628">
        <v>1.43</v>
      </c>
      <c r="E49" s="628">
        <v>2.13</v>
      </c>
    </row>
    <row r="50" spans="1:7" ht="16.5" customHeight="1" x14ac:dyDescent="0.3">
      <c r="A50" s="626">
        <v>6</v>
      </c>
      <c r="B50" s="630">
        <v>3721874</v>
      </c>
      <c r="C50" s="630">
        <v>531</v>
      </c>
      <c r="D50" s="631">
        <v>1.48</v>
      </c>
      <c r="E50" s="631">
        <v>2.13</v>
      </c>
    </row>
    <row r="51" spans="1:7" ht="16.5" customHeight="1" x14ac:dyDescent="0.3">
      <c r="A51" s="632" t="s">
        <v>18</v>
      </c>
      <c r="B51" s="633">
        <f>AVERAGE(B45:B50)</f>
        <v>3738435.3333333335</v>
      </c>
      <c r="C51" s="634">
        <f>AVERAGE(C45:C50)</f>
        <v>536.16666666666663</v>
      </c>
      <c r="D51" s="635">
        <f>AVERAGE(D45:D50)</f>
        <v>1.4683333333333335</v>
      </c>
      <c r="E51" s="635">
        <f>AVERAGE(E45:E50)</f>
        <v>2.1233333333333331</v>
      </c>
    </row>
    <row r="52" spans="1:7" ht="16.5" customHeight="1" x14ac:dyDescent="0.3">
      <c r="A52" s="636" t="s">
        <v>19</v>
      </c>
      <c r="B52" s="637">
        <f>(STDEV(B45:B50)/B51)</f>
        <v>4.7723904069230756E-3</v>
      </c>
      <c r="C52" s="638"/>
      <c r="D52" s="638"/>
      <c r="E52" s="639"/>
    </row>
    <row r="53" spans="1:7" s="614" customFormat="1" ht="16.5" customHeight="1" x14ac:dyDescent="0.3">
      <c r="A53" s="640" t="s">
        <v>20</v>
      </c>
      <c r="B53" s="641">
        <f>COUNT(B45:B50)</f>
        <v>6</v>
      </c>
      <c r="C53" s="642"/>
      <c r="D53" s="643"/>
      <c r="E53" s="644"/>
    </row>
    <row r="54" spans="1:7" s="614" customFormat="1" ht="15.75" customHeight="1" x14ac:dyDescent="0.25">
      <c r="A54" s="620"/>
      <c r="B54" s="620"/>
      <c r="C54" s="620"/>
      <c r="D54" s="620"/>
      <c r="E54" s="620"/>
    </row>
    <row r="55" spans="1:7" s="614" customFormat="1" ht="16.5" customHeight="1" x14ac:dyDescent="0.3">
      <c r="A55" s="621" t="s">
        <v>21</v>
      </c>
      <c r="B55" s="645" t="s">
        <v>22</v>
      </c>
      <c r="C55" s="646"/>
      <c r="D55" s="646"/>
      <c r="E55" s="646"/>
    </row>
    <row r="56" spans="1:7" ht="16.5" customHeight="1" x14ac:dyDescent="0.3">
      <c r="A56" s="621"/>
      <c r="B56" s="645" t="s">
        <v>23</v>
      </c>
      <c r="C56" s="646"/>
      <c r="D56" s="646"/>
      <c r="E56" s="646"/>
    </row>
    <row r="57" spans="1:7" ht="16.5" customHeight="1" x14ac:dyDescent="0.3">
      <c r="A57" s="621"/>
      <c r="B57" s="645" t="s">
        <v>24</v>
      </c>
      <c r="C57" s="646"/>
      <c r="D57" s="646"/>
      <c r="E57" s="646"/>
    </row>
    <row r="58" spans="1:7" ht="14.25" customHeight="1" thickBot="1" x14ac:dyDescent="0.3">
      <c r="A58" s="647"/>
      <c r="B58" s="648"/>
      <c r="D58" s="649"/>
      <c r="F58" s="650"/>
      <c r="G58" s="650"/>
    </row>
    <row r="59" spans="1:7" ht="15" customHeight="1" x14ac:dyDescent="0.3">
      <c r="B59" s="660" t="s">
        <v>26</v>
      </c>
      <c r="C59" s="660"/>
      <c r="E59" s="651" t="s">
        <v>27</v>
      </c>
      <c r="F59" s="652"/>
      <c r="G59" s="651" t="s">
        <v>28</v>
      </c>
    </row>
    <row r="60" spans="1:7" ht="15" customHeight="1" x14ac:dyDescent="0.3">
      <c r="A60" s="653" t="s">
        <v>29</v>
      </c>
      <c r="B60" s="654" t="s">
        <v>141</v>
      </c>
      <c r="C60" s="654"/>
      <c r="E60" s="658">
        <v>43006</v>
      </c>
      <c r="G60" s="654"/>
    </row>
    <row r="61" spans="1:7" ht="15" customHeight="1" x14ac:dyDescent="0.3">
      <c r="A61" s="653" t="s">
        <v>30</v>
      </c>
      <c r="B61" s="655"/>
      <c r="C61" s="655"/>
      <c r="E61" s="655"/>
      <c r="G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A30" sqref="A30"/>
    </sheetView>
  </sheetViews>
  <sheetFormatPr defaultRowHeight="13.5" x14ac:dyDescent="0.25"/>
  <cols>
    <col min="1" max="1" width="27.5703125" style="614" customWidth="1"/>
    <col min="2" max="2" width="20.42578125" style="614" customWidth="1"/>
    <col min="3" max="3" width="31.85546875" style="614" customWidth="1"/>
    <col min="4" max="5" width="25.85546875" style="614" customWidth="1"/>
    <col min="6" max="6" width="25.7109375" style="614" customWidth="1"/>
    <col min="7" max="7" width="23.140625" style="614" customWidth="1"/>
    <col min="8" max="8" width="28.42578125" style="614" customWidth="1"/>
    <col min="9" max="9" width="21.5703125" style="614" customWidth="1"/>
    <col min="10" max="10" width="9.140625" style="614" customWidth="1"/>
    <col min="11" max="16384" width="9.140625" style="650"/>
  </cols>
  <sheetData>
    <row r="14" spans="1:7" ht="15" customHeight="1" x14ac:dyDescent="0.3">
      <c r="A14" s="613"/>
      <c r="C14" s="615"/>
      <c r="G14" s="615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6" t="s">
        <v>1</v>
      </c>
      <c r="B16" s="617" t="s">
        <v>2</v>
      </c>
    </row>
    <row r="17" spans="1:6" ht="16.5" customHeight="1" x14ac:dyDescent="0.3">
      <c r="A17" s="618" t="s">
        <v>3</v>
      </c>
      <c r="B17" s="618" t="s">
        <v>137</v>
      </c>
      <c r="D17" s="619"/>
      <c r="E17" s="619"/>
      <c r="F17" s="620"/>
    </row>
    <row r="18" spans="1:6" ht="16.5" customHeight="1" x14ac:dyDescent="0.3">
      <c r="A18" s="621" t="s">
        <v>4</v>
      </c>
      <c r="B18" s="618" t="s">
        <v>138</v>
      </c>
      <c r="C18" s="620"/>
      <c r="D18" s="620"/>
      <c r="E18" s="620"/>
      <c r="F18" s="620"/>
    </row>
    <row r="19" spans="1:6" ht="16.5" customHeight="1" x14ac:dyDescent="0.3">
      <c r="A19" s="621" t="s">
        <v>6</v>
      </c>
      <c r="B19" s="622">
        <v>97.21</v>
      </c>
      <c r="C19" s="620"/>
      <c r="D19" s="620"/>
      <c r="E19" s="620"/>
      <c r="F19" s="620"/>
    </row>
    <row r="20" spans="1:6" ht="16.5" customHeight="1" x14ac:dyDescent="0.3">
      <c r="A20" s="618" t="s">
        <v>8</v>
      </c>
      <c r="B20" s="622">
        <v>24.05</v>
      </c>
      <c r="C20" s="620"/>
      <c r="D20" s="620"/>
      <c r="E20" s="620"/>
      <c r="F20" s="620"/>
    </row>
    <row r="21" spans="1:6" ht="16.5" customHeight="1" x14ac:dyDescent="0.3">
      <c r="A21" s="618" t="s">
        <v>10</v>
      </c>
      <c r="B21" s="623">
        <f>B20/100</f>
        <v>0.24050000000000002</v>
      </c>
      <c r="C21" s="620"/>
      <c r="D21" s="620"/>
      <c r="E21" s="620"/>
      <c r="F21" s="620"/>
    </row>
    <row r="22" spans="1:6" ht="15.75" customHeight="1" x14ac:dyDescent="0.25">
      <c r="A22" s="620"/>
      <c r="B22" s="620"/>
      <c r="C22" s="620"/>
      <c r="D22" s="620"/>
      <c r="E22" s="620"/>
      <c r="F22" s="620"/>
    </row>
    <row r="23" spans="1:6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139</v>
      </c>
      <c r="F23" s="624" t="s">
        <v>17</v>
      </c>
    </row>
    <row r="24" spans="1:6" ht="16.5" customHeight="1" x14ac:dyDescent="0.3">
      <c r="A24" s="626">
        <v>1</v>
      </c>
      <c r="B24" s="627">
        <v>4131605</v>
      </c>
      <c r="C24" s="627">
        <v>372079</v>
      </c>
      <c r="D24" s="628">
        <v>1.2</v>
      </c>
      <c r="E24" s="628">
        <v>38.799999999999997</v>
      </c>
      <c r="F24" s="629">
        <v>25.2</v>
      </c>
    </row>
    <row r="25" spans="1:6" ht="16.5" customHeight="1" x14ac:dyDescent="0.3">
      <c r="A25" s="626">
        <v>2</v>
      </c>
      <c r="B25" s="627">
        <v>4138787</v>
      </c>
      <c r="C25" s="627">
        <v>371813</v>
      </c>
      <c r="D25" s="628">
        <v>1.2</v>
      </c>
      <c r="E25" s="628">
        <v>38.700000000000003</v>
      </c>
      <c r="F25" s="628">
        <v>25.2</v>
      </c>
    </row>
    <row r="26" spans="1:6" ht="16.5" customHeight="1" x14ac:dyDescent="0.3">
      <c r="A26" s="626">
        <v>3</v>
      </c>
      <c r="B26" s="627">
        <v>4131064</v>
      </c>
      <c r="C26" s="627">
        <v>372887.8</v>
      </c>
      <c r="D26" s="628">
        <v>1.2</v>
      </c>
      <c r="E26" s="628">
        <v>38.799999999999997</v>
      </c>
      <c r="F26" s="628">
        <v>25.2</v>
      </c>
    </row>
    <row r="27" spans="1:6" ht="16.5" customHeight="1" x14ac:dyDescent="0.3">
      <c r="A27" s="626">
        <v>4</v>
      </c>
      <c r="B27" s="627">
        <v>4132885</v>
      </c>
      <c r="C27" s="627">
        <v>373302.5</v>
      </c>
      <c r="D27" s="628">
        <v>1.3</v>
      </c>
      <c r="E27" s="628">
        <v>38.6</v>
      </c>
      <c r="F27" s="628">
        <v>25.2</v>
      </c>
    </row>
    <row r="28" spans="1:6" ht="16.5" customHeight="1" x14ac:dyDescent="0.3">
      <c r="A28" s="626">
        <v>5</v>
      </c>
      <c r="B28" s="627">
        <v>4106927</v>
      </c>
      <c r="C28" s="627">
        <v>372799.3</v>
      </c>
      <c r="D28" s="628">
        <v>1.3</v>
      </c>
      <c r="E28" s="628">
        <v>38.700000000000003</v>
      </c>
      <c r="F28" s="628">
        <v>25.2</v>
      </c>
    </row>
    <row r="29" spans="1:6" ht="16.5" customHeight="1" x14ac:dyDescent="0.3">
      <c r="A29" s="626">
        <v>6</v>
      </c>
      <c r="B29" s="630">
        <v>4153058</v>
      </c>
      <c r="C29" s="630">
        <v>373208.1</v>
      </c>
      <c r="D29" s="631">
        <v>1.2</v>
      </c>
      <c r="E29" s="631">
        <v>38.799999999999997</v>
      </c>
      <c r="F29" s="631">
        <v>25.1</v>
      </c>
    </row>
    <row r="30" spans="1:6" ht="16.5" customHeight="1" x14ac:dyDescent="0.3">
      <c r="A30" s="632" t="s">
        <v>18</v>
      </c>
      <c r="B30" s="633">
        <f>AVERAGE(B24:B29)</f>
        <v>4132387.6666666665</v>
      </c>
      <c r="C30" s="634">
        <f>AVERAGE(C24:C29)</f>
        <v>372681.6166666667</v>
      </c>
      <c r="D30" s="635">
        <f>AVERAGE(D24:D29)</f>
        <v>1.2333333333333332</v>
      </c>
      <c r="E30" s="635">
        <f>AVERAGE(E24:E29)</f>
        <v>38.733333333333341</v>
      </c>
      <c r="F30" s="635">
        <f>AVERAGE(F24:F29)</f>
        <v>25.183333333333334</v>
      </c>
    </row>
    <row r="31" spans="1:6" ht="16.5" customHeight="1" x14ac:dyDescent="0.3">
      <c r="A31" s="636" t="s">
        <v>19</v>
      </c>
      <c r="B31" s="637">
        <f>(STDEV(B24:B29)/B30)</f>
        <v>3.6202861327755539E-3</v>
      </c>
      <c r="C31" s="638"/>
      <c r="D31" s="638"/>
      <c r="E31" s="638"/>
      <c r="F31" s="639"/>
    </row>
    <row r="32" spans="1:6" s="614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3"/>
      <c r="F32" s="644"/>
    </row>
    <row r="33" spans="1:6" s="614" customFormat="1" ht="15.75" customHeight="1" x14ac:dyDescent="0.25">
      <c r="A33" s="620"/>
      <c r="B33" s="620"/>
      <c r="C33" s="620"/>
      <c r="D33" s="620"/>
      <c r="E33" s="620"/>
      <c r="F33" s="620"/>
    </row>
    <row r="34" spans="1:6" s="614" customFormat="1" ht="16.5" customHeight="1" x14ac:dyDescent="0.3">
      <c r="A34" s="621" t="s">
        <v>21</v>
      </c>
      <c r="B34" s="645" t="s">
        <v>22</v>
      </c>
      <c r="C34" s="646"/>
      <c r="D34" s="646"/>
      <c r="E34" s="646"/>
      <c r="F34" s="646"/>
    </row>
    <row r="35" spans="1:6" ht="16.5" customHeight="1" x14ac:dyDescent="0.3">
      <c r="A35" s="621"/>
      <c r="B35" s="645" t="s">
        <v>140</v>
      </c>
      <c r="C35" s="646"/>
      <c r="D35" s="646"/>
      <c r="E35" s="646"/>
      <c r="F35" s="646"/>
    </row>
    <row r="36" spans="1:6" ht="16.5" customHeight="1" x14ac:dyDescent="0.3">
      <c r="A36" s="621"/>
      <c r="B36" s="645" t="s">
        <v>24</v>
      </c>
      <c r="C36" s="646"/>
      <c r="D36" s="646"/>
      <c r="E36" s="646"/>
      <c r="F36" s="646"/>
    </row>
    <row r="37" spans="1:6" ht="15.75" customHeight="1" x14ac:dyDescent="0.25">
      <c r="A37" s="620"/>
      <c r="B37" s="620"/>
      <c r="C37" s="620"/>
      <c r="D37" s="620"/>
      <c r="E37" s="620"/>
      <c r="F37" s="620"/>
    </row>
    <row r="38" spans="1:6" ht="16.5" customHeight="1" x14ac:dyDescent="0.3">
      <c r="A38" s="616" t="s">
        <v>1</v>
      </c>
      <c r="B38" s="617" t="s">
        <v>25</v>
      </c>
    </row>
    <row r="39" spans="1:6" ht="16.5" customHeight="1" x14ac:dyDescent="0.3">
      <c r="A39" s="621" t="s">
        <v>4</v>
      </c>
      <c r="B39" s="618" t="s">
        <v>138</v>
      </c>
      <c r="C39" s="620"/>
      <c r="D39" s="620"/>
      <c r="E39" s="620"/>
      <c r="F39" s="620"/>
    </row>
    <row r="40" spans="1:6" ht="16.5" customHeight="1" x14ac:dyDescent="0.3">
      <c r="A40" s="621" t="s">
        <v>6</v>
      </c>
      <c r="B40" s="622">
        <v>97.21</v>
      </c>
      <c r="C40" s="620"/>
      <c r="D40" s="620"/>
      <c r="E40" s="620"/>
      <c r="F40" s="620"/>
    </row>
    <row r="41" spans="1:6" ht="16.5" customHeight="1" x14ac:dyDescent="0.3">
      <c r="A41" s="618" t="s">
        <v>8</v>
      </c>
      <c r="B41" s="622">
        <v>28.47</v>
      </c>
      <c r="C41" s="620"/>
      <c r="D41" s="620"/>
      <c r="E41" s="620"/>
      <c r="F41" s="620"/>
    </row>
    <row r="42" spans="1:6" ht="16.5" customHeight="1" x14ac:dyDescent="0.3">
      <c r="A42" s="618" t="s">
        <v>10</v>
      </c>
      <c r="B42" s="623">
        <v>0.56940000000000002</v>
      </c>
      <c r="C42" s="620"/>
      <c r="D42" s="620"/>
      <c r="E42" s="620"/>
      <c r="F42" s="620"/>
    </row>
    <row r="43" spans="1:6" ht="15.75" customHeight="1" x14ac:dyDescent="0.25">
      <c r="A43" s="620"/>
      <c r="B43" s="620"/>
      <c r="C43" s="620"/>
      <c r="D43" s="620"/>
      <c r="E43" s="620"/>
      <c r="F43" s="620"/>
    </row>
    <row r="44" spans="1:6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139</v>
      </c>
      <c r="F44" s="624" t="s">
        <v>17</v>
      </c>
    </row>
    <row r="45" spans="1:6" ht="16.5" customHeight="1" x14ac:dyDescent="0.3">
      <c r="A45" s="626">
        <v>1</v>
      </c>
      <c r="B45" s="627">
        <v>2102763</v>
      </c>
      <c r="C45" s="627">
        <v>11384</v>
      </c>
      <c r="D45" s="628">
        <v>1.53</v>
      </c>
      <c r="E45" s="628">
        <v>2.23</v>
      </c>
      <c r="F45" s="629">
        <v>8.68</v>
      </c>
    </row>
    <row r="46" spans="1:6" ht="16.5" customHeight="1" x14ac:dyDescent="0.3">
      <c r="A46" s="626">
        <v>2</v>
      </c>
      <c r="B46" s="627">
        <v>2105212</v>
      </c>
      <c r="C46" s="627">
        <v>11177</v>
      </c>
      <c r="D46" s="628">
        <v>1.5</v>
      </c>
      <c r="E46" s="628">
        <v>2.2000000000000002</v>
      </c>
      <c r="F46" s="628">
        <v>8.69</v>
      </c>
    </row>
    <row r="47" spans="1:6" ht="16.5" customHeight="1" x14ac:dyDescent="0.3">
      <c r="A47" s="626">
        <v>3</v>
      </c>
      <c r="B47" s="627">
        <v>2110501</v>
      </c>
      <c r="C47" s="627">
        <v>11050</v>
      </c>
      <c r="D47" s="628">
        <v>1.5</v>
      </c>
      <c r="E47" s="628">
        <v>2.19</v>
      </c>
      <c r="F47" s="628">
        <v>8.69</v>
      </c>
    </row>
    <row r="48" spans="1:6" ht="16.5" customHeight="1" x14ac:dyDescent="0.3">
      <c r="A48" s="626">
        <v>4</v>
      </c>
      <c r="B48" s="627">
        <v>2103257</v>
      </c>
      <c r="C48" s="627">
        <v>11095</v>
      </c>
      <c r="D48" s="628">
        <v>1.59</v>
      </c>
      <c r="E48" s="628">
        <v>2.2000000000000002</v>
      </c>
      <c r="F48" s="628">
        <v>8.68</v>
      </c>
    </row>
    <row r="49" spans="1:8" ht="16.5" customHeight="1" x14ac:dyDescent="0.3">
      <c r="A49" s="626">
        <v>5</v>
      </c>
      <c r="B49" s="627">
        <v>2127510</v>
      </c>
      <c r="C49" s="627">
        <v>11438</v>
      </c>
      <c r="D49" s="628">
        <v>1.57</v>
      </c>
      <c r="E49" s="628">
        <v>2.21</v>
      </c>
      <c r="F49" s="628">
        <v>8.68</v>
      </c>
    </row>
    <row r="50" spans="1:8" ht="16.5" customHeight="1" x14ac:dyDescent="0.3">
      <c r="A50" s="626">
        <v>6</v>
      </c>
      <c r="B50" s="630">
        <v>2117497</v>
      </c>
      <c r="C50" s="630">
        <v>11266</v>
      </c>
      <c r="D50" s="631">
        <v>1.61</v>
      </c>
      <c r="E50" s="631">
        <v>2.17</v>
      </c>
      <c r="F50" s="631">
        <v>8.68</v>
      </c>
    </row>
    <row r="51" spans="1:8" ht="16.5" customHeight="1" x14ac:dyDescent="0.3">
      <c r="A51" s="632" t="s">
        <v>18</v>
      </c>
      <c r="B51" s="633">
        <f>AVERAGE(B45:B50)</f>
        <v>2111123.3333333335</v>
      </c>
      <c r="C51" s="634">
        <f>AVERAGE(C45:C50)</f>
        <v>11235</v>
      </c>
      <c r="D51" s="635">
        <f>AVERAGE(D45:D50)</f>
        <v>1.55</v>
      </c>
      <c r="E51" s="635">
        <f>AVERAGE(E45:E50)</f>
        <v>2.2000000000000002</v>
      </c>
      <c r="F51" s="635">
        <f>AVERAGE(F45:F50)</f>
        <v>8.6833333333333318</v>
      </c>
    </row>
    <row r="52" spans="1:8" ht="16.5" customHeight="1" x14ac:dyDescent="0.3">
      <c r="A52" s="636" t="s">
        <v>19</v>
      </c>
      <c r="B52" s="637">
        <f>(STDEV(B45:B50)/B51)</f>
        <v>4.6229564332500904E-3</v>
      </c>
      <c r="C52" s="638"/>
      <c r="D52" s="638"/>
      <c r="E52" s="638"/>
      <c r="F52" s="639"/>
    </row>
    <row r="53" spans="1:8" s="614" customFormat="1" ht="16.5" customHeight="1" x14ac:dyDescent="0.3">
      <c r="A53" s="640" t="s">
        <v>20</v>
      </c>
      <c r="B53" s="641">
        <f>COUNT(B45:B50)</f>
        <v>6</v>
      </c>
      <c r="C53" s="642"/>
      <c r="D53" s="643"/>
      <c r="E53" s="643"/>
      <c r="F53" s="644"/>
    </row>
    <row r="54" spans="1:8" s="614" customFormat="1" ht="15.75" customHeight="1" x14ac:dyDescent="0.25">
      <c r="A54" s="620"/>
      <c r="B54" s="620"/>
      <c r="C54" s="620"/>
      <c r="D54" s="620"/>
      <c r="E54" s="620"/>
      <c r="F54" s="620"/>
    </row>
    <row r="55" spans="1:8" s="614" customFormat="1" ht="16.5" customHeight="1" x14ac:dyDescent="0.3">
      <c r="A55" s="621" t="s">
        <v>21</v>
      </c>
      <c r="B55" s="645" t="s">
        <v>22</v>
      </c>
      <c r="C55" s="646"/>
      <c r="D55" s="646"/>
      <c r="E55" s="646"/>
      <c r="F55" s="646"/>
    </row>
    <row r="56" spans="1:8" ht="16.5" customHeight="1" x14ac:dyDescent="0.3">
      <c r="A56" s="621"/>
      <c r="B56" s="645" t="s">
        <v>23</v>
      </c>
      <c r="C56" s="646"/>
      <c r="D56" s="646"/>
      <c r="E56" s="646"/>
      <c r="F56" s="646"/>
    </row>
    <row r="57" spans="1:8" ht="16.5" customHeight="1" x14ac:dyDescent="0.3">
      <c r="A57" s="621"/>
      <c r="B57" s="645" t="s">
        <v>24</v>
      </c>
      <c r="C57" s="646"/>
      <c r="D57" s="646"/>
      <c r="E57" s="646"/>
      <c r="F57" s="646"/>
    </row>
    <row r="58" spans="1:8" ht="14.25" customHeight="1" thickBot="1" x14ac:dyDescent="0.3">
      <c r="A58" s="647"/>
      <c r="B58" s="648"/>
      <c r="D58" s="649"/>
      <c r="E58" s="657"/>
      <c r="G58" s="650"/>
      <c r="H58" s="650"/>
    </row>
    <row r="59" spans="1:8" ht="15" customHeight="1" x14ac:dyDescent="0.3">
      <c r="B59" s="660" t="s">
        <v>26</v>
      </c>
      <c r="C59" s="660"/>
      <c r="F59" s="651" t="s">
        <v>27</v>
      </c>
      <c r="G59" s="652"/>
      <c r="H59" s="651" t="s">
        <v>28</v>
      </c>
    </row>
    <row r="60" spans="1:8" ht="15" customHeight="1" x14ac:dyDescent="0.3">
      <c r="A60" s="653" t="s">
        <v>29</v>
      </c>
      <c r="B60" s="654" t="s">
        <v>141</v>
      </c>
      <c r="C60" s="654"/>
      <c r="F60" s="658">
        <v>43006</v>
      </c>
      <c r="H60" s="654"/>
    </row>
    <row r="61" spans="1:8" ht="15" customHeight="1" x14ac:dyDescent="0.3">
      <c r="A61" s="653" t="s">
        <v>30</v>
      </c>
      <c r="B61" s="655"/>
      <c r="C61" s="655"/>
      <c r="F61" s="655"/>
      <c r="H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F23" sqref="F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4" t="s">
        <v>31</v>
      </c>
      <c r="B11" s="665"/>
      <c r="C11" s="665"/>
      <c r="D11" s="665"/>
      <c r="E11" s="665"/>
      <c r="F11" s="666"/>
      <c r="G11" s="43"/>
    </row>
    <row r="12" spans="1:7" ht="16.5" customHeight="1" x14ac:dyDescent="0.3">
      <c r="A12" s="663" t="s">
        <v>32</v>
      </c>
      <c r="B12" s="663"/>
      <c r="C12" s="663"/>
      <c r="D12" s="663"/>
      <c r="E12" s="663"/>
      <c r="F12" s="663"/>
      <c r="G12" s="42"/>
    </row>
    <row r="14" spans="1:7" ht="16.5" customHeight="1" x14ac:dyDescent="0.3">
      <c r="A14" s="668" t="s">
        <v>33</v>
      </c>
      <c r="B14" s="668"/>
      <c r="C14" s="12" t="s">
        <v>5</v>
      </c>
    </row>
    <row r="15" spans="1:7" ht="16.5" customHeight="1" x14ac:dyDescent="0.3">
      <c r="A15" s="668" t="s">
        <v>34</v>
      </c>
      <c r="B15" s="668"/>
      <c r="C15" s="12" t="s">
        <v>7</v>
      </c>
    </row>
    <row r="16" spans="1:7" ht="16.5" customHeight="1" x14ac:dyDescent="0.3">
      <c r="A16" s="668" t="s">
        <v>35</v>
      </c>
      <c r="B16" s="668"/>
      <c r="C16" s="12" t="s">
        <v>9</v>
      </c>
    </row>
    <row r="17" spans="1:5" ht="16.5" customHeight="1" x14ac:dyDescent="0.3">
      <c r="A17" s="668" t="s">
        <v>36</v>
      </c>
      <c r="B17" s="668"/>
      <c r="C17" s="12" t="s">
        <v>11</v>
      </c>
    </row>
    <row r="18" spans="1:5" ht="16.5" customHeight="1" x14ac:dyDescent="0.3">
      <c r="A18" s="668" t="s">
        <v>37</v>
      </c>
      <c r="B18" s="668"/>
      <c r="C18" s="49" t="s">
        <v>12</v>
      </c>
    </row>
    <row r="19" spans="1:5" ht="16.5" customHeight="1" x14ac:dyDescent="0.3">
      <c r="A19" s="668" t="s">
        <v>38</v>
      </c>
      <c r="B19" s="66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3" t="s">
        <v>1</v>
      </c>
      <c r="B21" s="663"/>
      <c r="C21" s="11" t="s">
        <v>39</v>
      </c>
      <c r="D21" s="18"/>
    </row>
    <row r="22" spans="1:5" ht="15.75" customHeight="1" x14ac:dyDescent="0.3">
      <c r="A22" s="667"/>
      <c r="B22" s="667"/>
      <c r="C22" s="9"/>
      <c r="D22" s="667"/>
      <c r="E22" s="66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1612.27</v>
      </c>
      <c r="D24" s="39">
        <f t="shared" ref="D24:D43" si="0">(C24-$C$46)/$C$46</f>
        <v>3.4358187134956981E-3</v>
      </c>
      <c r="E24" s="5"/>
    </row>
    <row r="25" spans="1:5" ht="15.75" customHeight="1" x14ac:dyDescent="0.3">
      <c r="C25" s="47">
        <v>1609.86</v>
      </c>
      <c r="D25" s="40">
        <f t="shared" si="0"/>
        <v>1.9358960435337147E-3</v>
      </c>
      <c r="E25" s="5"/>
    </row>
    <row r="26" spans="1:5" ht="15.75" customHeight="1" x14ac:dyDescent="0.3">
      <c r="C26" s="47">
        <v>1585.57</v>
      </c>
      <c r="D26" s="40">
        <f t="shared" si="0"/>
        <v>-1.3181581820937358E-2</v>
      </c>
      <c r="E26" s="5"/>
    </row>
    <row r="27" spans="1:5" ht="15.75" customHeight="1" x14ac:dyDescent="0.3">
      <c r="C27" s="47">
        <v>1597.38</v>
      </c>
      <c r="D27" s="40">
        <f t="shared" si="0"/>
        <v>-5.8313383635719297E-3</v>
      </c>
      <c r="E27" s="5"/>
    </row>
    <row r="28" spans="1:5" ht="15.75" customHeight="1" x14ac:dyDescent="0.3">
      <c r="C28" s="47">
        <v>1603.04</v>
      </c>
      <c r="D28" s="40">
        <f t="shared" si="0"/>
        <v>-2.3086984000929589E-3</v>
      </c>
      <c r="E28" s="5"/>
    </row>
    <row r="29" spans="1:5" ht="15.75" customHeight="1" x14ac:dyDescent="0.3">
      <c r="C29" s="47">
        <v>1627.61</v>
      </c>
      <c r="D29" s="40">
        <f t="shared" si="0"/>
        <v>1.2983044338896495E-2</v>
      </c>
      <c r="E29" s="5"/>
    </row>
    <row r="30" spans="1:5" ht="15.75" customHeight="1" x14ac:dyDescent="0.3">
      <c r="C30" s="47">
        <v>1598.68</v>
      </c>
      <c r="D30" s="40">
        <f t="shared" si="0"/>
        <v>-5.0222514461651059E-3</v>
      </c>
      <c r="E30" s="5"/>
    </row>
    <row r="31" spans="1:5" ht="15.75" customHeight="1" x14ac:dyDescent="0.3">
      <c r="C31" s="47">
        <v>1593.88</v>
      </c>
      <c r="D31" s="40">
        <f t="shared" si="0"/>
        <v>-8.0096492950519141E-3</v>
      </c>
      <c r="E31" s="5"/>
    </row>
    <row r="32" spans="1:5" ht="15.75" customHeight="1" x14ac:dyDescent="0.3">
      <c r="C32" s="47">
        <v>1591.57</v>
      </c>
      <c r="D32" s="40">
        <f t="shared" si="0"/>
        <v>-9.4473345098288111E-3</v>
      </c>
      <c r="E32" s="5"/>
    </row>
    <row r="33" spans="1:7" ht="15.75" customHeight="1" x14ac:dyDescent="0.3">
      <c r="C33" s="47">
        <v>1641.46</v>
      </c>
      <c r="D33" s="40">
        <f t="shared" si="0"/>
        <v>2.1602931882038805E-2</v>
      </c>
      <c r="E33" s="5"/>
    </row>
    <row r="34" spans="1:7" ht="15.75" customHeight="1" x14ac:dyDescent="0.3">
      <c r="C34" s="47">
        <v>1617.99</v>
      </c>
      <c r="D34" s="40">
        <f t="shared" si="0"/>
        <v>6.9958011500858616E-3</v>
      </c>
      <c r="E34" s="5"/>
    </row>
    <row r="35" spans="1:7" ht="15.75" customHeight="1" x14ac:dyDescent="0.3">
      <c r="C35" s="47">
        <v>1608.62</v>
      </c>
      <c r="D35" s="40">
        <f t="shared" si="0"/>
        <v>1.1641515992379429E-3</v>
      </c>
      <c r="E35" s="5"/>
    </row>
    <row r="36" spans="1:7" ht="15.75" customHeight="1" x14ac:dyDescent="0.3">
      <c r="C36" s="47">
        <v>1619.99</v>
      </c>
      <c r="D36" s="40">
        <f t="shared" si="0"/>
        <v>8.2405502537887098E-3</v>
      </c>
      <c r="E36" s="5"/>
    </row>
    <row r="37" spans="1:7" ht="15.75" customHeight="1" x14ac:dyDescent="0.3">
      <c r="C37" s="47">
        <v>1620.45</v>
      </c>
      <c r="D37" s="40">
        <f t="shared" si="0"/>
        <v>8.5268425476403877E-3</v>
      </c>
      <c r="E37" s="5"/>
    </row>
    <row r="38" spans="1:7" ht="15.75" customHeight="1" x14ac:dyDescent="0.3">
      <c r="C38" s="47">
        <v>1634.44</v>
      </c>
      <c r="D38" s="40">
        <f t="shared" si="0"/>
        <v>1.7233862528041818E-2</v>
      </c>
      <c r="E38" s="5"/>
    </row>
    <row r="39" spans="1:7" ht="15.75" customHeight="1" x14ac:dyDescent="0.3">
      <c r="C39" s="47">
        <v>1612.93</v>
      </c>
      <c r="D39" s="40">
        <f t="shared" si="0"/>
        <v>3.8465859177176888E-3</v>
      </c>
      <c r="E39" s="5"/>
    </row>
    <row r="40" spans="1:7" ht="15.75" customHeight="1" x14ac:dyDescent="0.3">
      <c r="C40" s="47">
        <v>1586.39</v>
      </c>
      <c r="D40" s="40">
        <f t="shared" si="0"/>
        <v>-1.2671234688419087E-2</v>
      </c>
      <c r="E40" s="5"/>
    </row>
    <row r="41" spans="1:7" ht="15.75" customHeight="1" x14ac:dyDescent="0.3">
      <c r="C41" s="47">
        <v>1602.71</v>
      </c>
      <c r="D41" s="40">
        <f t="shared" si="0"/>
        <v>-2.5140820022038837E-3</v>
      </c>
      <c r="E41" s="5"/>
    </row>
    <row r="42" spans="1:7" ht="15.75" customHeight="1" x14ac:dyDescent="0.3">
      <c r="C42" s="47">
        <v>1589.81</v>
      </c>
      <c r="D42" s="40">
        <f t="shared" si="0"/>
        <v>-1.0542713721087312E-2</v>
      </c>
      <c r="E42" s="5"/>
    </row>
    <row r="43" spans="1:7" ht="16.5" customHeight="1" x14ac:dyDescent="0.3">
      <c r="C43" s="48">
        <v>1580.34</v>
      </c>
      <c r="D43" s="41">
        <f t="shared" si="0"/>
        <v>-1.6436600727120318E-2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32134.99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1606.7495000000001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1">
        <f>C46</f>
        <v>1606.7495000000001</v>
      </c>
      <c r="C49" s="45">
        <f>-IF(C46&lt;=80,10%,IF(C46&lt;250,7.5%,5%))</f>
        <v>-0.05</v>
      </c>
      <c r="D49" s="33">
        <f>IF(C46&lt;=80,C46*0.9,IF(C46&lt;250,C46*0.925,C46*0.95))</f>
        <v>1526.4120250000001</v>
      </c>
    </row>
    <row r="50" spans="1:6" ht="17.25" customHeight="1" x14ac:dyDescent="0.3">
      <c r="B50" s="662"/>
      <c r="C50" s="46">
        <f>IF(C46&lt;=80, 10%, IF(C46&lt;250, 7.5%, 5%))</f>
        <v>0.05</v>
      </c>
      <c r="D50" s="33">
        <f>IF(C46&lt;=80, C46*1.1, IF(C46&lt;250, C46*1.075, C46*1.05))</f>
        <v>1687.0869750000002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B25" sqref="B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50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52" t="s">
        <v>33</v>
      </c>
      <c r="B18" s="676" t="s">
        <v>5</v>
      </c>
      <c r="C18" s="67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1" t="s">
        <v>135</v>
      </c>
      <c r="C20" s="67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1" t="s">
        <v>11</v>
      </c>
      <c r="C21" s="671"/>
      <c r="D21" s="671"/>
      <c r="E21" s="671"/>
      <c r="F21" s="671"/>
      <c r="G21" s="671"/>
      <c r="H21" s="671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1" t="s">
        <v>135</v>
      </c>
      <c r="C26" s="671"/>
    </row>
    <row r="27" spans="1:14" ht="26.25" customHeight="1" x14ac:dyDescent="0.4">
      <c r="A27" s="61" t="s">
        <v>48</v>
      </c>
      <c r="B27" s="677" t="s">
        <v>136</v>
      </c>
      <c r="C27" s="677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78" t="s">
        <v>50</v>
      </c>
      <c r="D29" s="679"/>
      <c r="E29" s="679"/>
      <c r="F29" s="679"/>
      <c r="G29" s="68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1" t="s">
        <v>53</v>
      </c>
      <c r="D31" s="682"/>
      <c r="E31" s="682"/>
      <c r="F31" s="682"/>
      <c r="G31" s="682"/>
      <c r="H31" s="68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1" t="s">
        <v>55</v>
      </c>
      <c r="D32" s="682"/>
      <c r="E32" s="682"/>
      <c r="F32" s="682"/>
      <c r="G32" s="682"/>
      <c r="H32" s="6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4" t="s">
        <v>59</v>
      </c>
      <c r="E36" s="685"/>
      <c r="F36" s="684" t="s">
        <v>60</v>
      </c>
      <c r="G36" s="6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688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68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689" t="s">
        <v>78</v>
      </c>
      <c r="B46" s="690"/>
      <c r="C46" s="105" t="s">
        <v>79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691"/>
      <c r="B47" s="692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tablets tenofovir disoproxil fumarate 300mg, lamivudine USP 300mg ,Efavirenz USP 400mg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 xml:space="preserve">Tenofovir Disoproxil Fumarate </v>
      </c>
      <c r="H56" s="131"/>
    </row>
    <row r="57" spans="1:12" ht="18.75" x14ac:dyDescent="0.3">
      <c r="A57" s="128" t="s">
        <v>88</v>
      </c>
      <c r="B57" s="199">
        <f>Uniformity!C46</f>
        <v>1606.7495000000001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93" t="s">
        <v>94</v>
      </c>
      <c r="D60" s="696">
        <v>1605.44</v>
      </c>
      <c r="E60" s="134">
        <v>1</v>
      </c>
      <c r="F60" s="135">
        <v>10057470</v>
      </c>
      <c r="G60" s="200">
        <f>IF(ISBLANK(F60),"-",(F60/$D$50*$D$47*$B$68)*($B$57/$D$60))</f>
        <v>286.21652518842859</v>
      </c>
      <c r="H60" s="218">
        <f t="shared" ref="H60:H71" si="0">IF(ISBLANK(F60),"-",(G60/$B$56)*100)</f>
        <v>95.405508396142864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4"/>
      <c r="D61" s="697"/>
      <c r="E61" s="136">
        <v>2</v>
      </c>
      <c r="F61" s="89">
        <v>10180461</v>
      </c>
      <c r="G61" s="201">
        <f>IF(ISBLANK(F61),"-",(F61/$D$50*$D$47*$B$68)*($B$57/$D$60))</f>
        <v>289.71661583244247</v>
      </c>
      <c r="H61" s="219">
        <f t="shared" si="0"/>
        <v>96.572205277480833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4"/>
      <c r="D62" s="697"/>
      <c r="E62" s="136">
        <v>3</v>
      </c>
      <c r="F62" s="137">
        <v>10080683</v>
      </c>
      <c r="G62" s="201">
        <f>IF(ISBLANK(F62),"-",(F62/$D$50*$D$47*$B$68)*($B$57/$D$60))</f>
        <v>286.87712315185269</v>
      </c>
      <c r="H62" s="219">
        <f t="shared" si="0"/>
        <v>95.625707717284229</v>
      </c>
      <c r="L62" s="64"/>
    </row>
    <row r="63" spans="1:12" ht="27" customHeight="1" x14ac:dyDescent="0.4">
      <c r="A63" s="76" t="s">
        <v>97</v>
      </c>
      <c r="B63" s="77">
        <v>1</v>
      </c>
      <c r="C63" s="695"/>
      <c r="D63" s="69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3" t="s">
        <v>99</v>
      </c>
      <c r="D64" s="696">
        <v>1608.79</v>
      </c>
      <c r="E64" s="134">
        <v>1</v>
      </c>
      <c r="F64" s="135">
        <v>9824021</v>
      </c>
      <c r="G64" s="200">
        <f>IF(ISBLANK(F64),"-",(F64/$D$50*$D$47*$B$68)*($B$57/$D$64))</f>
        <v>278.9908515562152</v>
      </c>
      <c r="H64" s="218">
        <f t="shared" si="0"/>
        <v>92.996950518738402</v>
      </c>
    </row>
    <row r="65" spans="1:8" ht="26.25" customHeight="1" x14ac:dyDescent="0.4">
      <c r="A65" s="76" t="s">
        <v>100</v>
      </c>
      <c r="B65" s="77">
        <v>1</v>
      </c>
      <c r="C65" s="694"/>
      <c r="D65" s="697"/>
      <c r="E65" s="136">
        <v>2</v>
      </c>
      <c r="F65" s="89">
        <v>9757291</v>
      </c>
      <c r="G65" s="201">
        <f>IF(ISBLANK(F65),"-",(F65/$D$50*$D$47*$B$68)*($B$57/$D$64))</f>
        <v>277.0957966164562</v>
      </c>
      <c r="H65" s="219">
        <f t="shared" si="0"/>
        <v>92.365265538818733</v>
      </c>
    </row>
    <row r="66" spans="1:8" ht="26.25" customHeight="1" x14ac:dyDescent="0.4">
      <c r="A66" s="76" t="s">
        <v>101</v>
      </c>
      <c r="B66" s="77">
        <v>1</v>
      </c>
      <c r="C66" s="694"/>
      <c r="D66" s="697"/>
      <c r="E66" s="136">
        <v>3</v>
      </c>
      <c r="F66" s="89">
        <v>9782495</v>
      </c>
      <c r="G66" s="201">
        <f>IF(ISBLANK(F66),"-",(F66/$D$50*$D$47*$B$68)*($B$57/$D$64))</f>
        <v>277.81156111071198</v>
      </c>
      <c r="H66" s="219">
        <f t="shared" si="0"/>
        <v>92.603853703570664</v>
      </c>
    </row>
    <row r="67" spans="1:8" ht="27" customHeight="1" x14ac:dyDescent="0.4">
      <c r="A67" s="76" t="s">
        <v>102</v>
      </c>
      <c r="B67" s="77">
        <v>1</v>
      </c>
      <c r="C67" s="695"/>
      <c r="D67" s="69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93" t="s">
        <v>104</v>
      </c>
      <c r="D68" s="696">
        <v>1608.32</v>
      </c>
      <c r="E68" s="134">
        <v>1</v>
      </c>
      <c r="F68" s="135">
        <v>10123252</v>
      </c>
      <c r="G68" s="200">
        <f>IF(ISBLANK(F68),"-",(F68/$D$50*$D$47*$B$68)*($B$57/$D$68))</f>
        <v>287.57267933082426</v>
      </c>
      <c r="H68" s="219">
        <f t="shared" si="0"/>
        <v>95.857559776941414</v>
      </c>
    </row>
    <row r="69" spans="1:8" ht="27" customHeight="1" x14ac:dyDescent="0.4">
      <c r="A69" s="124" t="s">
        <v>105</v>
      </c>
      <c r="B69" s="141">
        <f>(D47*B68)/B56*B57</f>
        <v>1606.7495000000001</v>
      </c>
      <c r="C69" s="694"/>
      <c r="D69" s="697"/>
      <c r="E69" s="136">
        <v>2</v>
      </c>
      <c r="F69" s="89">
        <v>10106511</v>
      </c>
      <c r="G69" s="201">
        <f>IF(ISBLANK(F69),"-",(F69/$D$50*$D$47*$B$68)*($B$57/$D$68))</f>
        <v>287.09711532978218</v>
      </c>
      <c r="H69" s="219">
        <f t="shared" si="0"/>
        <v>95.699038443260733</v>
      </c>
    </row>
    <row r="70" spans="1:8" ht="26.25" customHeight="1" x14ac:dyDescent="0.4">
      <c r="A70" s="706" t="s">
        <v>78</v>
      </c>
      <c r="B70" s="707"/>
      <c r="C70" s="694"/>
      <c r="D70" s="697"/>
      <c r="E70" s="136">
        <v>3</v>
      </c>
      <c r="F70" s="89">
        <v>10098793</v>
      </c>
      <c r="G70" s="201">
        <f>IF(ISBLANK(F70),"-",(F70/$D$50*$D$47*$B$68)*($B$57/$D$68))</f>
        <v>286.8778689908512</v>
      </c>
      <c r="H70" s="219">
        <f t="shared" si="0"/>
        <v>95.625956330283728</v>
      </c>
    </row>
    <row r="71" spans="1:8" ht="27" customHeight="1" x14ac:dyDescent="0.4">
      <c r="A71" s="708"/>
      <c r="B71" s="709"/>
      <c r="C71" s="705"/>
      <c r="D71" s="69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284.25068190084056</v>
      </c>
      <c r="H72" s="221">
        <f>AVERAGE(H60:H71)</f>
        <v>94.750227300280187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1.7008806305776718E-2</v>
      </c>
      <c r="H73" s="205">
        <f>STDEV(H60:H71)/H72</f>
        <v>1.7008806305776721E-2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1" t="str">
        <f>B26</f>
        <v xml:space="preserve">Tenofovir Disoproxil Fumarate </v>
      </c>
      <c r="D76" s="701"/>
      <c r="E76" s="150" t="s">
        <v>108</v>
      </c>
      <c r="F76" s="150"/>
      <c r="G76" s="237">
        <f>H72</f>
        <v>94.750227300280187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7" t="str">
        <f>B26</f>
        <v xml:space="preserve">Tenofovir Disoproxil Fumarate </v>
      </c>
      <c r="C79" s="687"/>
    </row>
    <row r="80" spans="1:8" ht="26.25" customHeight="1" x14ac:dyDescent="0.4">
      <c r="A80" s="61" t="s">
        <v>48</v>
      </c>
      <c r="B80" s="687" t="str">
        <f>B27</f>
        <v>T11-10</v>
      </c>
      <c r="C80" s="687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78" t="s">
        <v>50</v>
      </c>
      <c r="D82" s="679"/>
      <c r="E82" s="679"/>
      <c r="F82" s="679"/>
      <c r="G82" s="68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1" t="s">
        <v>111</v>
      </c>
      <c r="D84" s="682"/>
      <c r="E84" s="682"/>
      <c r="F84" s="682"/>
      <c r="G84" s="682"/>
      <c r="H84" s="68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1" t="s">
        <v>112</v>
      </c>
      <c r="D85" s="682"/>
      <c r="E85" s="682"/>
      <c r="F85" s="682"/>
      <c r="G85" s="682"/>
      <c r="H85" s="6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4" t="s">
        <v>60</v>
      </c>
      <c r="G89" s="686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8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89" t="s">
        <v>78</v>
      </c>
      <c r="B99" s="703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91"/>
      <c r="B100" s="704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3519850</v>
      </c>
      <c r="E108" s="202">
        <f t="shared" ref="E108:E113" si="1">IF(ISBLANK(D108),"-",D108/$D$103*$D$100*$B$116)</f>
        <v>293.30200627697474</v>
      </c>
      <c r="F108" s="229">
        <f t="shared" ref="F108:F113" si="2">IF(ISBLANK(D108), "-", (E108/$B$56)*100)</f>
        <v>97.767335425658246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3438665</v>
      </c>
      <c r="E109" s="203">
        <f t="shared" si="1"/>
        <v>286.53702385454307</v>
      </c>
      <c r="F109" s="230">
        <f t="shared" si="2"/>
        <v>95.512341284847693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3502214</v>
      </c>
      <c r="E110" s="203">
        <f t="shared" si="1"/>
        <v>291.83243394215913</v>
      </c>
      <c r="F110" s="230">
        <f t="shared" si="2"/>
        <v>97.277477980719709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3484813</v>
      </c>
      <c r="E111" s="203">
        <f t="shared" si="1"/>
        <v>290.38244368370334</v>
      </c>
      <c r="F111" s="230">
        <f t="shared" si="2"/>
        <v>96.794147894567786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3498449</v>
      </c>
      <c r="E112" s="203">
        <f t="shared" si="1"/>
        <v>291.51870408047961</v>
      </c>
      <c r="F112" s="230">
        <f t="shared" si="2"/>
        <v>97.172901360159869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3462982</v>
      </c>
      <c r="E113" s="204">
        <f t="shared" si="1"/>
        <v>288.56331045386889</v>
      </c>
      <c r="F113" s="231">
        <f t="shared" si="2"/>
        <v>96.187770151289627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290.3559870486215</v>
      </c>
      <c r="F115" s="233">
        <f>AVERAGE(F108:F113)</f>
        <v>96.785329016207172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8.4375250306791098E-3</v>
      </c>
      <c r="F116" s="187">
        <f>STDEV(F108:F113)/F115</f>
        <v>8.4375250306791012E-3</v>
      </c>
      <c r="I116" s="50"/>
    </row>
    <row r="117" spans="1:10" ht="27" customHeight="1" x14ac:dyDescent="0.4">
      <c r="A117" s="689" t="s">
        <v>78</v>
      </c>
      <c r="B117" s="69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1"/>
      <c r="B118" s="692"/>
      <c r="C118" s="50"/>
      <c r="D118" s="212"/>
      <c r="E118" s="669" t="s">
        <v>123</v>
      </c>
      <c r="F118" s="670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286.53702385454307</v>
      </c>
      <c r="F119" s="234">
        <f>MIN(F108:F113)</f>
        <v>95.512341284847693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293.30200627697474</v>
      </c>
      <c r="F120" s="235">
        <f>MAX(F108:F113)</f>
        <v>97.767335425658246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1" t="str">
        <f>B26</f>
        <v xml:space="preserve">Tenofovir Disoproxil Fumarate </v>
      </c>
      <c r="D124" s="701"/>
      <c r="E124" s="150" t="s">
        <v>127</v>
      </c>
      <c r="F124" s="150"/>
      <c r="G124" s="236">
        <f>F115</f>
        <v>96.785329016207172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95.512341284847693</v>
      </c>
      <c r="E125" s="161" t="s">
        <v>130</v>
      </c>
      <c r="F125" s="236">
        <f>MAX(F108:F113)</f>
        <v>97.767335425658246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2" t="s">
        <v>26</v>
      </c>
      <c r="C127" s="702"/>
      <c r="E127" s="156" t="s">
        <v>27</v>
      </c>
      <c r="F127" s="191"/>
      <c r="G127" s="702" t="s">
        <v>28</v>
      </c>
      <c r="H127" s="702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50" workbookViewId="0">
      <selection activeCell="F65" sqref="F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238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240" t="s">
        <v>33</v>
      </c>
      <c r="B18" s="676" t="s">
        <v>5</v>
      </c>
      <c r="C18" s="676"/>
      <c r="D18" s="385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4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1" t="s">
        <v>133</v>
      </c>
      <c r="C20" s="67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1" t="s">
        <v>11</v>
      </c>
      <c r="C21" s="671"/>
      <c r="D21" s="671"/>
      <c r="E21" s="671"/>
      <c r="F21" s="671"/>
      <c r="G21" s="671"/>
      <c r="H21" s="671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1" t="s">
        <v>133</v>
      </c>
      <c r="C26" s="671"/>
    </row>
    <row r="27" spans="1:14" ht="26.25" customHeight="1" x14ac:dyDescent="0.4">
      <c r="A27" s="249" t="s">
        <v>48</v>
      </c>
      <c r="B27" s="677" t="s">
        <v>134</v>
      </c>
      <c r="C27" s="677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678" t="s">
        <v>50</v>
      </c>
      <c r="D29" s="679"/>
      <c r="E29" s="679"/>
      <c r="F29" s="679"/>
      <c r="G29" s="68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1" t="s">
        <v>53</v>
      </c>
      <c r="D31" s="682"/>
      <c r="E31" s="682"/>
      <c r="F31" s="682"/>
      <c r="G31" s="682"/>
      <c r="H31" s="68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1" t="s">
        <v>55</v>
      </c>
      <c r="D32" s="682"/>
      <c r="E32" s="682"/>
      <c r="F32" s="682"/>
      <c r="G32" s="682"/>
      <c r="H32" s="68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84" t="s">
        <v>59</v>
      </c>
      <c r="E36" s="685"/>
      <c r="F36" s="684" t="s">
        <v>60</v>
      </c>
      <c r="G36" s="686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688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68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689" t="s">
        <v>78</v>
      </c>
      <c r="B46" s="690"/>
      <c r="C46" s="293" t="s">
        <v>79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691"/>
      <c r="B47" s="692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tablets tenofovir disoproxil fumarate 300mg, lamivudine USP 300mg ,Efavirenz USP 400mg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6">
        <f>Uniformity!C46</f>
        <v>1606.7495000000001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93" t="s">
        <v>94</v>
      </c>
      <c r="D60" s="696">
        <v>1605.44</v>
      </c>
      <c r="E60" s="322">
        <v>1</v>
      </c>
      <c r="F60" s="323">
        <v>20146628</v>
      </c>
      <c r="G60" s="387">
        <f>IF(ISBLANK(F60),"-",(F60/$D$50*$D$47*$B$68)*($B$57/$D$60))</f>
        <v>294.29136123028587</v>
      </c>
      <c r="H60" s="405">
        <f t="shared" ref="H60:H71" si="0">IF(ISBLANK(F60),"-",(G60/$B$56)*100)</f>
        <v>98.0971204100953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94"/>
      <c r="D61" s="697"/>
      <c r="E61" s="324">
        <v>2</v>
      </c>
      <c r="F61" s="277">
        <v>20371299</v>
      </c>
      <c r="G61" s="388">
        <f>IF(ISBLANK(F61),"-",(F61/$D$50*$D$47*$B$68)*($B$57/$D$60))</f>
        <v>297.57323720570815</v>
      </c>
      <c r="H61" s="406">
        <f t="shared" si="0"/>
        <v>99.191079068569394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4"/>
      <c r="D62" s="697"/>
      <c r="E62" s="324">
        <v>3</v>
      </c>
      <c r="F62" s="512">
        <v>20334557</v>
      </c>
      <c r="G62" s="388">
        <f>IF(ISBLANK(F62),"-",(F62/$D$50*$D$47*$B$68)*($B$57/$D$60))</f>
        <v>297.03652936584916</v>
      </c>
      <c r="H62" s="406">
        <f t="shared" si="0"/>
        <v>99.012176455283054</v>
      </c>
      <c r="L62" s="252"/>
    </row>
    <row r="63" spans="1:12" ht="27" customHeight="1" x14ac:dyDescent="0.4">
      <c r="A63" s="264" t="s">
        <v>97</v>
      </c>
      <c r="B63" s="265">
        <v>1</v>
      </c>
      <c r="C63" s="695"/>
      <c r="D63" s="698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3" t="s">
        <v>99</v>
      </c>
      <c r="D64" s="696">
        <v>1608.79</v>
      </c>
      <c r="E64" s="322">
        <v>1</v>
      </c>
      <c r="F64" s="323">
        <v>19619348</v>
      </c>
      <c r="G64" s="387">
        <f>IF(ISBLANK(F64),"-",(F64/$D$50*$D$47*$B$68)*($B$57/$D$64))</f>
        <v>285.99236440341446</v>
      </c>
      <c r="H64" s="405">
        <f t="shared" si="0"/>
        <v>95.33078813447149</v>
      </c>
    </row>
    <row r="65" spans="1:8" ht="26.25" customHeight="1" x14ac:dyDescent="0.4">
      <c r="A65" s="264" t="s">
        <v>100</v>
      </c>
      <c r="B65" s="265">
        <v>1</v>
      </c>
      <c r="C65" s="694"/>
      <c r="D65" s="697"/>
      <c r="E65" s="324">
        <v>2</v>
      </c>
      <c r="F65" s="277"/>
      <c r="G65" s="388" t="str">
        <f>IF(ISBLANK(F65),"-",(F65/$D$50*$D$47*$B$68)*($B$57/$D$64))</f>
        <v>-</v>
      </c>
      <c r="H65" s="406" t="str">
        <f t="shared" si="0"/>
        <v>-</v>
      </c>
    </row>
    <row r="66" spans="1:8" ht="26.25" customHeight="1" x14ac:dyDescent="0.4">
      <c r="A66" s="264" t="s">
        <v>101</v>
      </c>
      <c r="B66" s="265">
        <v>1</v>
      </c>
      <c r="C66" s="694"/>
      <c r="D66" s="697"/>
      <c r="E66" s="324">
        <v>3</v>
      </c>
      <c r="F66" s="277">
        <v>19540722</v>
      </c>
      <c r="G66" s="388">
        <f>IF(ISBLANK(F66),"-",(F66/$D$50*$D$47*$B$68)*($B$57/$D$64))</f>
        <v>284.84622867843598</v>
      </c>
      <c r="H66" s="406">
        <f t="shared" si="0"/>
        <v>94.948742892811993</v>
      </c>
    </row>
    <row r="67" spans="1:8" ht="27" customHeight="1" x14ac:dyDescent="0.4">
      <c r="A67" s="264" t="s">
        <v>102</v>
      </c>
      <c r="B67" s="265">
        <v>1</v>
      </c>
      <c r="C67" s="695"/>
      <c r="D67" s="698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4" t="s">
        <v>103</v>
      </c>
      <c r="B68" s="327">
        <f>(B67/B66)*(B65/B64)*(B63/B62)*(B61/B60)*B59</f>
        <v>2500</v>
      </c>
      <c r="C68" s="693" t="s">
        <v>104</v>
      </c>
      <c r="D68" s="696">
        <v>1608.32</v>
      </c>
      <c r="E68" s="322">
        <v>1</v>
      </c>
      <c r="F68" s="323">
        <v>20444160</v>
      </c>
      <c r="G68" s="387">
        <f>IF(ISBLANK(F68),"-",(F68/$D$50*$D$47*$B$68)*($B$57/$D$68))</f>
        <v>298.10278562163768</v>
      </c>
      <c r="H68" s="406">
        <f t="shared" si="0"/>
        <v>99.36759520721256</v>
      </c>
    </row>
    <row r="69" spans="1:8" ht="27" customHeight="1" x14ac:dyDescent="0.4">
      <c r="A69" s="312" t="s">
        <v>105</v>
      </c>
      <c r="B69" s="328">
        <f>(D47*B68)/B56*B57</f>
        <v>1606.7495000000001</v>
      </c>
      <c r="C69" s="694"/>
      <c r="D69" s="697"/>
      <c r="E69" s="324">
        <v>2</v>
      </c>
      <c r="F69" s="277">
        <v>20389313</v>
      </c>
      <c r="G69" s="388">
        <f>IF(ISBLANK(F69),"-",(F69/$D$50*$D$47*$B$68)*($B$57/$D$68))</f>
        <v>297.30304410704434</v>
      </c>
      <c r="H69" s="406">
        <f t="shared" si="0"/>
        <v>99.10101470234811</v>
      </c>
    </row>
    <row r="70" spans="1:8" ht="26.25" customHeight="1" x14ac:dyDescent="0.4">
      <c r="A70" s="706" t="s">
        <v>78</v>
      </c>
      <c r="B70" s="707"/>
      <c r="C70" s="694"/>
      <c r="D70" s="697"/>
      <c r="E70" s="324">
        <v>3</v>
      </c>
      <c r="F70" s="277">
        <v>20356400</v>
      </c>
      <c r="G70" s="388">
        <f>IF(ISBLANK(F70),"-",(F70/$D$50*$D$47*$B$68)*($B$57/$D$68))</f>
        <v>296.82312920796477</v>
      </c>
      <c r="H70" s="406">
        <f t="shared" si="0"/>
        <v>98.941043069321594</v>
      </c>
    </row>
    <row r="71" spans="1:8" ht="27" customHeight="1" x14ac:dyDescent="0.4">
      <c r="A71" s="708"/>
      <c r="B71" s="709"/>
      <c r="C71" s="705"/>
      <c r="D71" s="698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293.99608497754258</v>
      </c>
      <c r="H72" s="408">
        <f>AVERAGE(H60:H71)</f>
        <v>97.998694992514203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1.8438545190885881E-2</v>
      </c>
      <c r="H73" s="392">
        <f>STDEV(H60:H71)/H72</f>
        <v>1.8438545190885877E-2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8</v>
      </c>
      <c r="H74" s="335">
        <f>COUNT(H60:H71)</f>
        <v>8</v>
      </c>
    </row>
    <row r="76" spans="1:8" ht="26.25" customHeight="1" x14ac:dyDescent="0.4">
      <c r="A76" s="248" t="s">
        <v>106</v>
      </c>
      <c r="B76" s="336" t="s">
        <v>107</v>
      </c>
      <c r="C76" s="701" t="str">
        <f>B26</f>
        <v xml:space="preserve"> Lamivudine </v>
      </c>
      <c r="D76" s="701"/>
      <c r="E76" s="337" t="s">
        <v>108</v>
      </c>
      <c r="F76" s="337"/>
      <c r="G76" s="424">
        <f>H72</f>
        <v>97.998694992514203</v>
      </c>
      <c r="H76" s="339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7" t="str">
        <f>B26</f>
        <v xml:space="preserve"> Lamivudine </v>
      </c>
      <c r="C79" s="687"/>
    </row>
    <row r="80" spans="1:8" ht="26.25" customHeight="1" x14ac:dyDescent="0.4">
      <c r="A80" s="249" t="s">
        <v>48</v>
      </c>
      <c r="B80" s="687" t="str">
        <f>B27</f>
        <v>L3-10</v>
      </c>
      <c r="C80" s="687"/>
    </row>
    <row r="81" spans="1:12" ht="27" customHeight="1" x14ac:dyDescent="0.4">
      <c r="A81" s="249" t="s">
        <v>6</v>
      </c>
      <c r="B81" s="340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678" t="s">
        <v>50</v>
      </c>
      <c r="D82" s="679"/>
      <c r="E82" s="679"/>
      <c r="F82" s="679"/>
      <c r="G82" s="68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1" t="s">
        <v>111</v>
      </c>
      <c r="D84" s="682"/>
      <c r="E84" s="682"/>
      <c r="F84" s="682"/>
      <c r="G84" s="682"/>
      <c r="H84" s="68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1" t="s">
        <v>112</v>
      </c>
      <c r="D85" s="682"/>
      <c r="E85" s="682"/>
      <c r="F85" s="682"/>
      <c r="G85" s="682"/>
      <c r="H85" s="68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1" t="s">
        <v>59</v>
      </c>
      <c r="E89" s="342"/>
      <c r="F89" s="684" t="s">
        <v>60</v>
      </c>
      <c r="G89" s="686"/>
    </row>
    <row r="90" spans="1:12" ht="27" customHeight="1" x14ac:dyDescent="0.4">
      <c r="A90" s="264" t="s">
        <v>61</v>
      </c>
      <c r="B90" s="265">
        <v>1</v>
      </c>
      <c r="C90" s="343" t="s">
        <v>62</v>
      </c>
      <c r="D90" s="267" t="s">
        <v>63</v>
      </c>
      <c r="E90" s="268" t="s">
        <v>64</v>
      </c>
      <c r="F90" s="267" t="s">
        <v>63</v>
      </c>
      <c r="G90" s="344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5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0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8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0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8"/>
    </row>
    <row r="94" spans="1:12" ht="27" customHeight="1" x14ac:dyDescent="0.4">
      <c r="A94" s="264" t="s">
        <v>69</v>
      </c>
      <c r="B94" s="265">
        <v>1</v>
      </c>
      <c r="C94" s="346">
        <v>4</v>
      </c>
      <c r="D94" s="282"/>
      <c r="E94" s="283" t="str">
        <f>IF(ISBLANK(D94),"-",$D$101/$D$98*D94)</f>
        <v>-</v>
      </c>
      <c r="F94" s="347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8" t="s">
        <v>71</v>
      </c>
      <c r="D95" s="349">
        <f>AVERAGE(D91:D94)</f>
        <v>3682783</v>
      </c>
      <c r="E95" s="288">
        <f>AVERAGE(E91:E94)</f>
        <v>3717778.4485360696</v>
      </c>
      <c r="F95" s="350">
        <f>AVERAGE(F91:F94)</f>
        <v>3781647.3333333335</v>
      </c>
      <c r="G95" s="351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2" t="s">
        <v>113</v>
      </c>
      <c r="D96" s="353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4" t="s">
        <v>114</v>
      </c>
      <c r="D97" s="355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6">
        <f>(B97/B96)*(B95/B94)*(B93/B92)*(B91/B90)*B89</f>
        <v>50</v>
      </c>
      <c r="C98" s="354" t="s">
        <v>115</v>
      </c>
      <c r="D98" s="357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89" t="s">
        <v>78</v>
      </c>
      <c r="B99" s="703"/>
      <c r="C99" s="354" t="s">
        <v>116</v>
      </c>
      <c r="D99" s="358">
        <f>D98/$B$98</f>
        <v>0.2971761</v>
      </c>
      <c r="E99" s="298"/>
      <c r="F99" s="301">
        <f>F98/$B$98</f>
        <v>0.30592242000000003</v>
      </c>
      <c r="G99" s="359"/>
      <c r="H99" s="290"/>
    </row>
    <row r="100" spans="1:10" ht="19.5" customHeight="1" x14ac:dyDescent="0.3">
      <c r="A100" s="691"/>
      <c r="B100" s="704"/>
      <c r="C100" s="354" t="s">
        <v>80</v>
      </c>
      <c r="D100" s="360">
        <f>$B$56/$B$116</f>
        <v>0.3</v>
      </c>
      <c r="F100" s="306"/>
      <c r="G100" s="361"/>
      <c r="H100" s="290"/>
    </row>
    <row r="101" spans="1:10" ht="18.75" x14ac:dyDescent="0.3">
      <c r="C101" s="354" t="s">
        <v>81</v>
      </c>
      <c r="D101" s="355">
        <f>D100*$B$98</f>
        <v>15</v>
      </c>
      <c r="F101" s="306"/>
      <c r="G101" s="359"/>
      <c r="H101" s="290"/>
    </row>
    <row r="102" spans="1:10" ht="19.5" customHeight="1" x14ac:dyDescent="0.3">
      <c r="C102" s="362" t="s">
        <v>82</v>
      </c>
      <c r="D102" s="363">
        <f>D101/B34</f>
        <v>15</v>
      </c>
      <c r="F102" s="310"/>
      <c r="G102" s="359"/>
      <c r="H102" s="290"/>
      <c r="J102" s="364"/>
    </row>
    <row r="103" spans="1:10" ht="18.75" x14ac:dyDescent="0.3">
      <c r="C103" s="365" t="s">
        <v>117</v>
      </c>
      <c r="D103" s="366">
        <f>AVERAGE(E91:E94,G91:G94)</f>
        <v>3713108.0160780628</v>
      </c>
      <c r="F103" s="310"/>
      <c r="G103" s="367"/>
      <c r="H103" s="290"/>
      <c r="J103" s="368"/>
    </row>
    <row r="104" spans="1:10" ht="18.75" x14ac:dyDescent="0.3">
      <c r="C104" s="332" t="s">
        <v>84</v>
      </c>
      <c r="D104" s="369">
        <f>STDEV(E91:E94,G91:G94)/D103</f>
        <v>5.3529973754918017E-3</v>
      </c>
      <c r="F104" s="310"/>
      <c r="G104" s="359"/>
      <c r="H104" s="290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10"/>
      <c r="G105" s="359"/>
      <c r="H105" s="290"/>
      <c r="J105" s="368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4" t="s">
        <v>122</v>
      </c>
      <c r="B108" s="265">
        <v>1</v>
      </c>
      <c r="C108" s="414">
        <v>1</v>
      </c>
      <c r="D108" s="415">
        <v>3755355</v>
      </c>
      <c r="E108" s="389">
        <f t="shared" ref="E108:E113" si="1">IF(ISBLANK(D108),"-",D108/$D$103*$D$100*$B$116)</f>
        <v>303.4133386698424</v>
      </c>
      <c r="F108" s="416">
        <f t="shared" ref="F108:F113" si="2">IF(ISBLANK(D108), "-", (E108/$B$56)*100)</f>
        <v>101.13777955661413</v>
      </c>
    </row>
    <row r="109" spans="1:10" ht="26.25" customHeight="1" x14ac:dyDescent="0.4">
      <c r="A109" s="264" t="s">
        <v>95</v>
      </c>
      <c r="B109" s="265">
        <v>1</v>
      </c>
      <c r="C109" s="410">
        <v>2</v>
      </c>
      <c r="D109" s="412">
        <v>3684307</v>
      </c>
      <c r="E109" s="390">
        <f t="shared" si="1"/>
        <v>297.67302626640389</v>
      </c>
      <c r="F109" s="417">
        <f t="shared" si="2"/>
        <v>99.224342088801293</v>
      </c>
    </row>
    <row r="110" spans="1:10" ht="26.25" customHeight="1" x14ac:dyDescent="0.4">
      <c r="A110" s="264" t="s">
        <v>96</v>
      </c>
      <c r="B110" s="265">
        <v>1</v>
      </c>
      <c r="C110" s="410">
        <v>3</v>
      </c>
      <c r="D110" s="412">
        <v>3741981</v>
      </c>
      <c r="E110" s="390">
        <f t="shared" si="1"/>
        <v>302.33278836464609</v>
      </c>
      <c r="F110" s="417">
        <f t="shared" si="2"/>
        <v>100.77759612154871</v>
      </c>
    </row>
    <row r="111" spans="1:10" ht="26.25" customHeight="1" x14ac:dyDescent="0.4">
      <c r="A111" s="264" t="s">
        <v>97</v>
      </c>
      <c r="B111" s="265">
        <v>1</v>
      </c>
      <c r="C111" s="410">
        <v>4</v>
      </c>
      <c r="D111" s="412">
        <v>3735728</v>
      </c>
      <c r="E111" s="390">
        <f t="shared" si="1"/>
        <v>301.82757817634098</v>
      </c>
      <c r="F111" s="417">
        <f t="shared" si="2"/>
        <v>100.60919272544699</v>
      </c>
    </row>
    <row r="112" spans="1:10" ht="26.25" customHeight="1" x14ac:dyDescent="0.4">
      <c r="A112" s="264" t="s">
        <v>98</v>
      </c>
      <c r="B112" s="265">
        <v>1</v>
      </c>
      <c r="C112" s="410">
        <v>5</v>
      </c>
      <c r="D112" s="412">
        <v>3746902</v>
      </c>
      <c r="E112" s="390">
        <f t="shared" si="1"/>
        <v>302.73037981461403</v>
      </c>
      <c r="F112" s="417">
        <f t="shared" si="2"/>
        <v>100.91012660487134</v>
      </c>
    </row>
    <row r="113" spans="1:10" ht="27" customHeight="1" x14ac:dyDescent="0.4">
      <c r="A113" s="264" t="s">
        <v>100</v>
      </c>
      <c r="B113" s="265">
        <v>1</v>
      </c>
      <c r="C113" s="411">
        <v>6</v>
      </c>
      <c r="D113" s="413">
        <v>3719228</v>
      </c>
      <c r="E113" s="391">
        <f t="shared" si="1"/>
        <v>300.49446317441647</v>
      </c>
      <c r="F113" s="418">
        <f t="shared" si="2"/>
        <v>100.16482105813881</v>
      </c>
    </row>
    <row r="114" spans="1:10" ht="27" customHeight="1" x14ac:dyDescent="0.4">
      <c r="A114" s="264" t="s">
        <v>101</v>
      </c>
      <c r="B114" s="265">
        <v>1</v>
      </c>
      <c r="C114" s="372"/>
      <c r="D114" s="330"/>
      <c r="E114" s="238"/>
      <c r="F114" s="419"/>
    </row>
    <row r="115" spans="1:10" ht="26.25" customHeight="1" x14ac:dyDescent="0.4">
      <c r="A115" s="264" t="s">
        <v>102</v>
      </c>
      <c r="B115" s="265">
        <v>1</v>
      </c>
      <c r="C115" s="372"/>
      <c r="D115" s="396" t="s">
        <v>71</v>
      </c>
      <c r="E115" s="398">
        <f>AVERAGE(E108:E113)</f>
        <v>301.41192907771068</v>
      </c>
      <c r="F115" s="420">
        <f>AVERAGE(F108:F113)</f>
        <v>100.47064302590354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3"/>
      <c r="D116" s="397" t="s">
        <v>84</v>
      </c>
      <c r="E116" s="395">
        <f>STDEV(E108:E113)/E115</f>
        <v>6.8934876851191769E-3</v>
      </c>
      <c r="F116" s="374">
        <f>STDEV(F108:F113)/F115</f>
        <v>6.8934876851192073E-3</v>
      </c>
      <c r="I116" s="238"/>
    </row>
    <row r="117" spans="1:10" ht="27" customHeight="1" x14ac:dyDescent="0.4">
      <c r="A117" s="689" t="s">
        <v>78</v>
      </c>
      <c r="B117" s="690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8"/>
      <c r="J117" s="368"/>
    </row>
    <row r="118" spans="1:10" ht="26.25" customHeight="1" x14ac:dyDescent="0.3">
      <c r="A118" s="691"/>
      <c r="B118" s="692"/>
      <c r="C118" s="238"/>
      <c r="D118" s="399"/>
      <c r="E118" s="669" t="s">
        <v>123</v>
      </c>
      <c r="F118" s="670"/>
      <c r="G118" s="238"/>
      <c r="H118" s="238"/>
      <c r="I118" s="238"/>
    </row>
    <row r="119" spans="1:10" ht="25.5" customHeight="1" x14ac:dyDescent="0.4">
      <c r="A119" s="384"/>
      <c r="B119" s="260"/>
      <c r="C119" s="238"/>
      <c r="D119" s="397" t="s">
        <v>124</v>
      </c>
      <c r="E119" s="402">
        <f>MIN(E108:E113)</f>
        <v>297.67302626640389</v>
      </c>
      <c r="F119" s="421">
        <f>MIN(F108:F113)</f>
        <v>99.224342088801293</v>
      </c>
      <c r="G119" s="238"/>
      <c r="H119" s="238"/>
      <c r="I119" s="238"/>
    </row>
    <row r="120" spans="1:10" ht="24" customHeight="1" x14ac:dyDescent="0.4">
      <c r="A120" s="384"/>
      <c r="B120" s="260"/>
      <c r="C120" s="238"/>
      <c r="D120" s="307" t="s">
        <v>125</v>
      </c>
      <c r="E120" s="403">
        <f>MAX(E108:E113)</f>
        <v>303.4133386698424</v>
      </c>
      <c r="F120" s="422">
        <f>MAX(F108:F113)</f>
        <v>101.13777955661413</v>
      </c>
      <c r="G120" s="238"/>
      <c r="H120" s="238"/>
      <c r="I120" s="238"/>
    </row>
    <row r="121" spans="1:10" ht="27" customHeight="1" x14ac:dyDescent="0.3">
      <c r="A121" s="384"/>
      <c r="B121" s="260"/>
      <c r="C121" s="238"/>
      <c r="D121" s="238"/>
      <c r="E121" s="238"/>
      <c r="F121" s="330"/>
      <c r="G121" s="238"/>
      <c r="H121" s="238"/>
      <c r="I121" s="238"/>
    </row>
    <row r="122" spans="1:10" ht="25.5" customHeight="1" x14ac:dyDescent="0.3">
      <c r="A122" s="384"/>
      <c r="B122" s="260"/>
      <c r="C122" s="238"/>
      <c r="D122" s="238"/>
      <c r="E122" s="238"/>
      <c r="F122" s="330"/>
      <c r="G122" s="238"/>
      <c r="H122" s="238"/>
      <c r="I122" s="238"/>
    </row>
    <row r="123" spans="1:10" ht="18.75" x14ac:dyDescent="0.3">
      <c r="A123" s="384"/>
      <c r="B123" s="260"/>
      <c r="C123" s="238"/>
      <c r="D123" s="238"/>
      <c r="E123" s="238"/>
      <c r="F123" s="330"/>
      <c r="G123" s="238"/>
      <c r="H123" s="238"/>
      <c r="I123" s="238"/>
    </row>
    <row r="124" spans="1:10" ht="45.75" customHeight="1" x14ac:dyDescent="0.65">
      <c r="A124" s="248" t="s">
        <v>106</v>
      </c>
      <c r="B124" s="336" t="s">
        <v>126</v>
      </c>
      <c r="C124" s="701" t="str">
        <f>B26</f>
        <v xml:space="preserve"> Lamivudine </v>
      </c>
      <c r="D124" s="701"/>
      <c r="E124" s="337" t="s">
        <v>127</v>
      </c>
      <c r="F124" s="337"/>
      <c r="G124" s="423">
        <f>F115</f>
        <v>100.47064302590354</v>
      </c>
      <c r="H124" s="238"/>
      <c r="I124" s="238"/>
    </row>
    <row r="125" spans="1:10" ht="45.75" customHeight="1" x14ac:dyDescent="0.65">
      <c r="A125" s="248"/>
      <c r="B125" s="336" t="s">
        <v>128</v>
      </c>
      <c r="C125" s="249" t="s">
        <v>129</v>
      </c>
      <c r="D125" s="423">
        <f>MIN(F108:F113)</f>
        <v>99.224342088801293</v>
      </c>
      <c r="E125" s="348" t="s">
        <v>130</v>
      </c>
      <c r="F125" s="423">
        <f>MAX(F108:F113)</f>
        <v>101.13777955661413</v>
      </c>
      <c r="G125" s="338"/>
      <c r="H125" s="238"/>
      <c r="I125" s="238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02" t="s">
        <v>26</v>
      </c>
      <c r="C127" s="702"/>
      <c r="E127" s="343" t="s">
        <v>27</v>
      </c>
      <c r="F127" s="378"/>
      <c r="G127" s="702" t="s">
        <v>28</v>
      </c>
      <c r="H127" s="702"/>
    </row>
    <row r="128" spans="1:10" ht="69.95" customHeight="1" x14ac:dyDescent="0.3">
      <c r="A128" s="379" t="s">
        <v>29</v>
      </c>
      <c r="B128" s="380"/>
      <c r="C128" s="380"/>
      <c r="E128" s="380"/>
      <c r="F128" s="238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8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8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8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8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8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8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8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8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8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C31" sqref="C31:H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425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427" t="s">
        <v>33</v>
      </c>
      <c r="B18" s="676" t="s">
        <v>5</v>
      </c>
      <c r="C18" s="676"/>
      <c r="D18" s="573"/>
      <c r="E18" s="428"/>
      <c r="F18" s="429"/>
      <c r="G18" s="429"/>
      <c r="H18" s="429"/>
    </row>
    <row r="19" spans="1:14" ht="26.25" customHeight="1" x14ac:dyDescent="0.4">
      <c r="A19" s="427" t="s">
        <v>34</v>
      </c>
      <c r="B19" s="430" t="s">
        <v>7</v>
      </c>
      <c r="C19" s="582">
        <v>1</v>
      </c>
      <c r="D19" s="429"/>
      <c r="E19" s="429"/>
      <c r="F19" s="429"/>
      <c r="G19" s="429"/>
      <c r="H19" s="429"/>
    </row>
    <row r="20" spans="1:14" ht="26.25" customHeight="1" x14ac:dyDescent="0.4">
      <c r="A20" s="427" t="s">
        <v>35</v>
      </c>
      <c r="B20" s="671" t="s">
        <v>131</v>
      </c>
      <c r="C20" s="671"/>
      <c r="D20" s="429"/>
      <c r="E20" s="429"/>
      <c r="F20" s="429"/>
      <c r="G20" s="429"/>
      <c r="H20" s="429"/>
    </row>
    <row r="21" spans="1:14" ht="26.25" customHeight="1" x14ac:dyDescent="0.4">
      <c r="A21" s="427" t="s">
        <v>36</v>
      </c>
      <c r="B21" s="671" t="s">
        <v>11</v>
      </c>
      <c r="C21" s="671"/>
      <c r="D21" s="671"/>
      <c r="E21" s="671"/>
      <c r="F21" s="671"/>
      <c r="G21" s="671"/>
      <c r="H21" s="671"/>
      <c r="I21" s="431"/>
    </row>
    <row r="22" spans="1:14" ht="26.25" customHeight="1" x14ac:dyDescent="0.4">
      <c r="A22" s="427" t="s">
        <v>37</v>
      </c>
      <c r="B22" s="432">
        <v>42985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7" t="s">
        <v>38</v>
      </c>
      <c r="B23" s="432">
        <v>43006</v>
      </c>
      <c r="C23" s="429"/>
      <c r="D23" s="429"/>
      <c r="E23" s="429"/>
      <c r="F23" s="429"/>
      <c r="G23" s="429"/>
      <c r="H23" s="429"/>
    </row>
    <row r="24" spans="1:14" ht="18.75" x14ac:dyDescent="0.3">
      <c r="A24" s="427"/>
      <c r="B24" s="433"/>
    </row>
    <row r="25" spans="1:14" ht="18.75" x14ac:dyDescent="0.3">
      <c r="A25" s="434" t="s">
        <v>1</v>
      </c>
      <c r="B25" s="433"/>
    </row>
    <row r="26" spans="1:14" ht="26.25" customHeight="1" x14ac:dyDescent="0.4">
      <c r="A26" s="435" t="s">
        <v>4</v>
      </c>
      <c r="B26" s="671" t="s">
        <v>131</v>
      </c>
      <c r="C26" s="671"/>
    </row>
    <row r="27" spans="1:14" ht="26.25" customHeight="1" x14ac:dyDescent="0.4">
      <c r="A27" s="436" t="s">
        <v>48</v>
      </c>
      <c r="B27" s="677" t="s">
        <v>132</v>
      </c>
      <c r="C27" s="677"/>
    </row>
    <row r="28" spans="1:14" ht="27" customHeight="1" x14ac:dyDescent="0.4">
      <c r="A28" s="436" t="s">
        <v>6</v>
      </c>
      <c r="B28" s="437">
        <v>97.21</v>
      </c>
    </row>
    <row r="29" spans="1:14" s="3" customFormat="1" ht="27" customHeight="1" x14ac:dyDescent="0.4">
      <c r="A29" s="436" t="s">
        <v>49</v>
      </c>
      <c r="B29" s="438">
        <v>0</v>
      </c>
      <c r="C29" s="678" t="s">
        <v>50</v>
      </c>
      <c r="D29" s="679"/>
      <c r="E29" s="679"/>
      <c r="F29" s="679"/>
      <c r="G29" s="680"/>
      <c r="I29" s="439"/>
      <c r="J29" s="439"/>
      <c r="K29" s="439"/>
      <c r="L29" s="439"/>
    </row>
    <row r="30" spans="1:14" s="3" customFormat="1" ht="19.5" customHeight="1" x14ac:dyDescent="0.3">
      <c r="A30" s="436" t="s">
        <v>51</v>
      </c>
      <c r="B30" s="440">
        <f>B28-B29</f>
        <v>97.21</v>
      </c>
      <c r="C30" s="441"/>
      <c r="D30" s="441"/>
      <c r="E30" s="441"/>
      <c r="F30" s="441"/>
      <c r="G30" s="442"/>
      <c r="I30" s="439"/>
      <c r="J30" s="439"/>
      <c r="K30" s="439"/>
      <c r="L30" s="439"/>
    </row>
    <row r="31" spans="1:14" s="3" customFormat="1" ht="27" customHeight="1" x14ac:dyDescent="0.4">
      <c r="A31" s="436" t="s">
        <v>52</v>
      </c>
      <c r="B31" s="443">
        <v>1</v>
      </c>
      <c r="C31" s="681" t="s">
        <v>53</v>
      </c>
      <c r="D31" s="682"/>
      <c r="E31" s="682"/>
      <c r="F31" s="682"/>
      <c r="G31" s="682"/>
      <c r="H31" s="683"/>
      <c r="I31" s="439"/>
      <c r="J31" s="439"/>
      <c r="K31" s="439"/>
      <c r="L31" s="439"/>
    </row>
    <row r="32" spans="1:14" s="3" customFormat="1" ht="27" customHeight="1" x14ac:dyDescent="0.4">
      <c r="A32" s="436" t="s">
        <v>54</v>
      </c>
      <c r="B32" s="443">
        <v>1</v>
      </c>
      <c r="C32" s="681" t="s">
        <v>55</v>
      </c>
      <c r="D32" s="682"/>
      <c r="E32" s="682"/>
      <c r="F32" s="682"/>
      <c r="G32" s="682"/>
      <c r="H32" s="683"/>
      <c r="I32" s="439"/>
      <c r="J32" s="439"/>
      <c r="K32" s="439"/>
      <c r="L32" s="444"/>
      <c r="M32" s="444"/>
      <c r="N32" s="445"/>
    </row>
    <row r="33" spans="1:14" s="3" customFormat="1" ht="17.25" customHeight="1" x14ac:dyDescent="0.3">
      <c r="A33" s="436"/>
      <c r="B33" s="446"/>
      <c r="C33" s="447"/>
      <c r="D33" s="447"/>
      <c r="E33" s="447"/>
      <c r="F33" s="447"/>
      <c r="G33" s="447"/>
      <c r="H33" s="447"/>
      <c r="I33" s="439"/>
      <c r="J33" s="439"/>
      <c r="K33" s="439"/>
      <c r="L33" s="444"/>
      <c r="M33" s="444"/>
      <c r="N33" s="445"/>
    </row>
    <row r="34" spans="1:14" s="3" customFormat="1" ht="18.75" x14ac:dyDescent="0.3">
      <c r="A34" s="436" t="s">
        <v>56</v>
      </c>
      <c r="B34" s="448">
        <f>B31/B32</f>
        <v>1</v>
      </c>
      <c r="C34" s="426" t="s">
        <v>57</v>
      </c>
      <c r="D34" s="426"/>
      <c r="E34" s="426"/>
      <c r="F34" s="426"/>
      <c r="G34" s="426"/>
      <c r="I34" s="439"/>
      <c r="J34" s="439"/>
      <c r="K34" s="439"/>
      <c r="L34" s="444"/>
      <c r="M34" s="444"/>
      <c r="N34" s="445"/>
    </row>
    <row r="35" spans="1:14" s="3" customFormat="1" ht="19.5" customHeight="1" x14ac:dyDescent="0.3">
      <c r="A35" s="436"/>
      <c r="B35" s="440"/>
      <c r="G35" s="426"/>
      <c r="I35" s="439"/>
      <c r="J35" s="439"/>
      <c r="K35" s="439"/>
      <c r="L35" s="444"/>
      <c r="M35" s="444"/>
      <c r="N35" s="445"/>
    </row>
    <row r="36" spans="1:14" s="3" customFormat="1" ht="27" customHeight="1" x14ac:dyDescent="0.4">
      <c r="A36" s="449" t="s">
        <v>58</v>
      </c>
      <c r="B36" s="450">
        <v>50</v>
      </c>
      <c r="C36" s="426"/>
      <c r="D36" s="684" t="s">
        <v>59</v>
      </c>
      <c r="E36" s="685"/>
      <c r="F36" s="684" t="s">
        <v>60</v>
      </c>
      <c r="G36" s="686"/>
      <c r="J36" s="439"/>
      <c r="K36" s="439"/>
      <c r="L36" s="444"/>
      <c r="M36" s="444"/>
      <c r="N36" s="445"/>
    </row>
    <row r="37" spans="1:14" s="3" customFormat="1" ht="27" customHeight="1" x14ac:dyDescent="0.4">
      <c r="A37" s="451" t="s">
        <v>61</v>
      </c>
      <c r="B37" s="452">
        <v>3</v>
      </c>
      <c r="C37" s="453" t="s">
        <v>62</v>
      </c>
      <c r="D37" s="454" t="s">
        <v>63</v>
      </c>
      <c r="E37" s="455" t="s">
        <v>64</v>
      </c>
      <c r="F37" s="454" t="s">
        <v>63</v>
      </c>
      <c r="G37" s="456" t="s">
        <v>64</v>
      </c>
      <c r="I37" s="457" t="s">
        <v>65</v>
      </c>
      <c r="J37" s="439"/>
      <c r="K37" s="439"/>
      <c r="L37" s="444"/>
      <c r="M37" s="444"/>
      <c r="N37" s="445"/>
    </row>
    <row r="38" spans="1:14" s="3" customFormat="1" ht="26.25" customHeight="1" x14ac:dyDescent="0.4">
      <c r="A38" s="451" t="s">
        <v>66</v>
      </c>
      <c r="B38" s="452">
        <v>10</v>
      </c>
      <c r="C38" s="458">
        <v>1</v>
      </c>
      <c r="D38" s="459">
        <v>2522810</v>
      </c>
      <c r="E38" s="460">
        <f>IF(ISBLANK(D38),"-",$D$48/$D$45*D38)</f>
        <v>2577688.2613310246</v>
      </c>
      <c r="F38" s="459">
        <v>2668761</v>
      </c>
      <c r="G38" s="461">
        <f>IF(ISBLANK(F38),"-",$D$48/$F$45*F38)</f>
        <v>2558103.2843926628</v>
      </c>
      <c r="I38" s="462"/>
      <c r="J38" s="439"/>
      <c r="K38" s="439"/>
      <c r="L38" s="444"/>
      <c r="M38" s="444"/>
      <c r="N38" s="445"/>
    </row>
    <row r="39" spans="1:14" s="3" customFormat="1" ht="26.25" customHeight="1" x14ac:dyDescent="0.4">
      <c r="A39" s="451" t="s">
        <v>67</v>
      </c>
      <c r="B39" s="452">
        <v>1</v>
      </c>
      <c r="C39" s="463">
        <v>2</v>
      </c>
      <c r="D39" s="464">
        <v>2501767</v>
      </c>
      <c r="E39" s="465">
        <f>IF(ISBLANK(D39),"-",$D$48/$D$45*D39)</f>
        <v>2556187.5164936455</v>
      </c>
      <c r="F39" s="464">
        <v>2667946</v>
      </c>
      <c r="G39" s="466">
        <f>IF(ISBLANK(F39),"-",$D$48/$F$45*F39)</f>
        <v>2557322.0776166418</v>
      </c>
      <c r="I39" s="688">
        <f>ABS((F43/D43*D42)-F42)/D42</f>
        <v>7.0325456367610756E-3</v>
      </c>
      <c r="J39" s="439"/>
      <c r="K39" s="439"/>
      <c r="L39" s="444"/>
      <c r="M39" s="444"/>
      <c r="N39" s="445"/>
    </row>
    <row r="40" spans="1:14" ht="26.25" customHeight="1" x14ac:dyDescent="0.4">
      <c r="A40" s="451" t="s">
        <v>68</v>
      </c>
      <c r="B40" s="452">
        <v>1</v>
      </c>
      <c r="C40" s="463">
        <v>3</v>
      </c>
      <c r="D40" s="464">
        <v>2521361</v>
      </c>
      <c r="E40" s="465">
        <f>IF(ISBLANK(D40),"-",$D$48/$D$45*D40)</f>
        <v>2576207.7414778969</v>
      </c>
      <c r="F40" s="464">
        <v>2653830</v>
      </c>
      <c r="G40" s="466">
        <f>IF(ISBLANK(F40),"-",$D$48/$F$45*F40)</f>
        <v>2543791.3845487777</v>
      </c>
      <c r="I40" s="688"/>
      <c r="L40" s="444"/>
      <c r="M40" s="444"/>
      <c r="N40" s="467"/>
    </row>
    <row r="41" spans="1:14" ht="27" customHeight="1" x14ac:dyDescent="0.4">
      <c r="A41" s="451" t="s">
        <v>69</v>
      </c>
      <c r="B41" s="452">
        <v>1</v>
      </c>
      <c r="C41" s="468">
        <v>4</v>
      </c>
      <c r="D41" s="469"/>
      <c r="E41" s="470" t="str">
        <f>IF(ISBLANK(D41),"-",$D$48/$D$45*D41)</f>
        <v>-</v>
      </c>
      <c r="F41" s="469"/>
      <c r="G41" s="471" t="str">
        <f>IF(ISBLANK(F41),"-",$D$48/$F$45*F41)</f>
        <v>-</v>
      </c>
      <c r="I41" s="472"/>
      <c r="L41" s="444"/>
      <c r="M41" s="444"/>
      <c r="N41" s="467"/>
    </row>
    <row r="42" spans="1:14" ht="27" customHeight="1" x14ac:dyDescent="0.4">
      <c r="A42" s="451" t="s">
        <v>70</v>
      </c>
      <c r="B42" s="452">
        <v>1</v>
      </c>
      <c r="C42" s="473" t="s">
        <v>71</v>
      </c>
      <c r="D42" s="474">
        <f>AVERAGE(D38:D41)</f>
        <v>2515312.6666666665</v>
      </c>
      <c r="E42" s="475">
        <f>AVERAGE(E38:E41)</f>
        <v>2570027.8397675226</v>
      </c>
      <c r="F42" s="474">
        <f>AVERAGE(F38:F41)</f>
        <v>2663512.3333333335</v>
      </c>
      <c r="G42" s="476">
        <f>AVERAGE(G38:G41)</f>
        <v>2553072.2488526939</v>
      </c>
      <c r="H42" s="477"/>
    </row>
    <row r="43" spans="1:14" ht="26.25" customHeight="1" x14ac:dyDescent="0.4">
      <c r="A43" s="451" t="s">
        <v>72</v>
      </c>
      <c r="B43" s="452">
        <v>1</v>
      </c>
      <c r="C43" s="478" t="s">
        <v>73</v>
      </c>
      <c r="D43" s="479">
        <v>25.17</v>
      </c>
      <c r="E43" s="467"/>
      <c r="F43" s="479">
        <v>26.83</v>
      </c>
      <c r="H43" s="477"/>
    </row>
    <row r="44" spans="1:14" ht="26.25" customHeight="1" x14ac:dyDescent="0.4">
      <c r="A44" s="451" t="s">
        <v>74</v>
      </c>
      <c r="B44" s="452">
        <v>1</v>
      </c>
      <c r="C44" s="480" t="s">
        <v>75</v>
      </c>
      <c r="D44" s="481">
        <f>D43*$B$34</f>
        <v>25.17</v>
      </c>
      <c r="E44" s="482"/>
      <c r="F44" s="481">
        <f>F43*$B$34</f>
        <v>26.83</v>
      </c>
      <c r="H44" s="477"/>
    </row>
    <row r="45" spans="1:14" ht="19.5" customHeight="1" x14ac:dyDescent="0.3">
      <c r="A45" s="451" t="s">
        <v>76</v>
      </c>
      <c r="B45" s="483">
        <f>(B44/B43)*(B42/B41)*(B40/B39)*(B38/B37)*B36</f>
        <v>166.66666666666669</v>
      </c>
      <c r="C45" s="480" t="s">
        <v>77</v>
      </c>
      <c r="D45" s="484">
        <f>D44*$B$30/100</f>
        <v>24.467757000000002</v>
      </c>
      <c r="E45" s="485"/>
      <c r="F45" s="484">
        <f>F44*$B$30/100</f>
        <v>26.081442999999993</v>
      </c>
      <c r="H45" s="477"/>
    </row>
    <row r="46" spans="1:14" ht="19.5" customHeight="1" x14ac:dyDescent="0.3">
      <c r="A46" s="689" t="s">
        <v>78</v>
      </c>
      <c r="B46" s="690"/>
      <c r="C46" s="480" t="s">
        <v>79</v>
      </c>
      <c r="D46" s="486">
        <f>D45/$B$45</f>
        <v>0.14680654199999998</v>
      </c>
      <c r="E46" s="487"/>
      <c r="F46" s="488">
        <f>F45/$B$45</f>
        <v>0.15648865799999995</v>
      </c>
      <c r="H46" s="477"/>
    </row>
    <row r="47" spans="1:14" ht="27" customHeight="1" x14ac:dyDescent="0.4">
      <c r="A47" s="691"/>
      <c r="B47" s="692"/>
      <c r="C47" s="489" t="s">
        <v>80</v>
      </c>
      <c r="D47" s="490">
        <v>0.15</v>
      </c>
      <c r="E47" s="491"/>
      <c r="F47" s="487"/>
      <c r="H47" s="477"/>
    </row>
    <row r="48" spans="1:14" ht="18.75" x14ac:dyDescent="0.3">
      <c r="C48" s="492" t="s">
        <v>81</v>
      </c>
      <c r="D48" s="484">
        <f>D47*$B$45</f>
        <v>25.000000000000004</v>
      </c>
      <c r="F48" s="493"/>
      <c r="H48" s="477"/>
    </row>
    <row r="49" spans="1:12" ht="19.5" customHeight="1" x14ac:dyDescent="0.3">
      <c r="C49" s="494" t="s">
        <v>82</v>
      </c>
      <c r="D49" s="495">
        <f>D48/B34</f>
        <v>25.000000000000004</v>
      </c>
      <c r="F49" s="493"/>
      <c r="H49" s="477"/>
    </row>
    <row r="50" spans="1:12" ht="18.75" x14ac:dyDescent="0.3">
      <c r="C50" s="449" t="s">
        <v>83</v>
      </c>
      <c r="D50" s="496">
        <f>AVERAGE(E38:E41,G38:G41)</f>
        <v>2561550.0443101083</v>
      </c>
      <c r="F50" s="497"/>
      <c r="H50" s="477"/>
    </row>
    <row r="51" spans="1:12" ht="18.75" x14ac:dyDescent="0.3">
      <c r="C51" s="451" t="s">
        <v>84</v>
      </c>
      <c r="D51" s="498">
        <f>STDEV(E38:E41,G38:G41)/D50</f>
        <v>5.0875672462463925E-3</v>
      </c>
      <c r="F51" s="497"/>
      <c r="H51" s="477"/>
    </row>
    <row r="52" spans="1:12" ht="19.5" customHeight="1" x14ac:dyDescent="0.3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85</v>
      </c>
    </row>
    <row r="55" spans="1:12" ht="18.75" x14ac:dyDescent="0.3">
      <c r="A55" s="426" t="s">
        <v>86</v>
      </c>
      <c r="B55" s="503" t="str">
        <f>B21</f>
        <v>each film coated tablets tenofovir disoproxil fumarate 300mg, lamivudine USP 300mg ,Efavirenz USP 400mg</v>
      </c>
    </row>
    <row r="56" spans="1:12" ht="26.25" customHeight="1" x14ac:dyDescent="0.4">
      <c r="A56" s="504" t="s">
        <v>87</v>
      </c>
      <c r="B56" s="505">
        <v>400</v>
      </c>
      <c r="C56" s="426" t="str">
        <f>B20</f>
        <v xml:space="preserve"> Efavirenz </v>
      </c>
      <c r="H56" s="506"/>
    </row>
    <row r="57" spans="1:12" ht="18.75" x14ac:dyDescent="0.3">
      <c r="A57" s="503" t="s">
        <v>88</v>
      </c>
      <c r="B57" s="574">
        <f>Uniformity!C46</f>
        <v>1606.7495000000001</v>
      </c>
      <c r="H57" s="506"/>
    </row>
    <row r="58" spans="1:12" ht="19.5" customHeight="1" x14ac:dyDescent="0.3">
      <c r="H58" s="506"/>
    </row>
    <row r="59" spans="1:12" s="3" customFormat="1" ht="27" customHeight="1" x14ac:dyDescent="0.4">
      <c r="A59" s="449" t="s">
        <v>89</v>
      </c>
      <c r="B59" s="450">
        <v>200</v>
      </c>
      <c r="C59" s="426"/>
      <c r="D59" s="507" t="s">
        <v>90</v>
      </c>
      <c r="E59" s="508" t="s">
        <v>62</v>
      </c>
      <c r="F59" s="508" t="s">
        <v>63</v>
      </c>
      <c r="G59" s="508" t="s">
        <v>91</v>
      </c>
      <c r="H59" s="453" t="s">
        <v>92</v>
      </c>
      <c r="L59" s="439"/>
    </row>
    <row r="60" spans="1:12" s="3" customFormat="1" ht="26.25" customHeight="1" x14ac:dyDescent="0.4">
      <c r="A60" s="451" t="s">
        <v>93</v>
      </c>
      <c r="B60" s="452">
        <v>4</v>
      </c>
      <c r="C60" s="693" t="s">
        <v>94</v>
      </c>
      <c r="D60" s="696">
        <v>1605.44</v>
      </c>
      <c r="E60" s="509">
        <v>1</v>
      </c>
      <c r="F60" s="510">
        <v>2572857</v>
      </c>
      <c r="G60" s="575">
        <f>IF(ISBLANK(F60),"-",(F60/$D$50*$D$47*$B$68)*($B$57/$D$60))</f>
        <v>376.96251433384015</v>
      </c>
      <c r="H60" s="593">
        <f t="shared" ref="H60:H71" si="0">IF(ISBLANK(F60),"-",(G60/$B$56)*100)</f>
        <v>94.240628583460037</v>
      </c>
      <c r="L60" s="439"/>
    </row>
    <row r="61" spans="1:12" s="3" customFormat="1" ht="26.25" customHeight="1" x14ac:dyDescent="0.4">
      <c r="A61" s="451" t="s">
        <v>95</v>
      </c>
      <c r="B61" s="452">
        <v>50</v>
      </c>
      <c r="C61" s="694"/>
      <c r="D61" s="697"/>
      <c r="E61" s="511">
        <v>2</v>
      </c>
      <c r="F61" s="464">
        <v>2596453</v>
      </c>
      <c r="G61" s="576">
        <f>IF(ISBLANK(F61),"-",(F61/$D$50*$D$47*$B$68)*($B$57/$D$60))</f>
        <v>380.41968567613446</v>
      </c>
      <c r="H61" s="594">
        <f t="shared" si="0"/>
        <v>95.104921419033616</v>
      </c>
      <c r="L61" s="439"/>
    </row>
    <row r="62" spans="1:12" s="3" customFormat="1" ht="26.25" customHeight="1" x14ac:dyDescent="0.4">
      <c r="A62" s="451" t="s">
        <v>96</v>
      </c>
      <c r="B62" s="452">
        <v>1</v>
      </c>
      <c r="C62" s="694"/>
      <c r="D62" s="697"/>
      <c r="E62" s="511">
        <v>3</v>
      </c>
      <c r="F62" s="512">
        <v>2568916</v>
      </c>
      <c r="G62" s="576">
        <f>IF(ISBLANK(F62),"-",(F62/$D$50*$D$47*$B$68)*($B$57/$D$60))</f>
        <v>376.38509815058961</v>
      </c>
      <c r="H62" s="594">
        <f t="shared" si="0"/>
        <v>94.096274537647403</v>
      </c>
      <c r="L62" s="439"/>
    </row>
    <row r="63" spans="1:12" ht="27" customHeight="1" x14ac:dyDescent="0.4">
      <c r="A63" s="451" t="s">
        <v>97</v>
      </c>
      <c r="B63" s="452">
        <v>1</v>
      </c>
      <c r="C63" s="695"/>
      <c r="D63" s="698"/>
      <c r="E63" s="513">
        <v>4</v>
      </c>
      <c r="F63" s="514"/>
      <c r="G63" s="576" t="str">
        <f>IF(ISBLANK(F63),"-",(F63/$D$50*$D$47*$B$68)*($B$57/$D$60))</f>
        <v>-</v>
      </c>
      <c r="H63" s="594" t="str">
        <f t="shared" si="0"/>
        <v>-</v>
      </c>
    </row>
    <row r="64" spans="1:12" ht="26.25" customHeight="1" x14ac:dyDescent="0.4">
      <c r="A64" s="451" t="s">
        <v>98</v>
      </c>
      <c r="B64" s="452">
        <v>1</v>
      </c>
      <c r="C64" s="693" t="s">
        <v>99</v>
      </c>
      <c r="D64" s="696">
        <v>1608.79</v>
      </c>
      <c r="E64" s="509">
        <v>1</v>
      </c>
      <c r="F64" s="510">
        <v>2706156</v>
      </c>
      <c r="G64" s="575">
        <f>IF(ISBLANK(F64),"-",(F64/$D$50*$D$47*$B$68)*($B$57/$D$64))</f>
        <v>395.66721541867668</v>
      </c>
      <c r="H64" s="593">
        <f t="shared" si="0"/>
        <v>98.916803854669169</v>
      </c>
    </row>
    <row r="65" spans="1:8" ht="26.25" customHeight="1" x14ac:dyDescent="0.4">
      <c r="A65" s="451" t="s">
        <v>100</v>
      </c>
      <c r="B65" s="452">
        <v>1</v>
      </c>
      <c r="C65" s="694"/>
      <c r="D65" s="697"/>
      <c r="E65" s="511">
        <v>2</v>
      </c>
      <c r="F65" s="464">
        <v>2685704</v>
      </c>
      <c r="G65" s="576">
        <f>IF(ISBLANK(F65),"-",(F65/$D$50*$D$47*$B$68)*($B$57/$D$64))</f>
        <v>392.67692739029155</v>
      </c>
      <c r="H65" s="594">
        <f t="shared" si="0"/>
        <v>98.169231847572888</v>
      </c>
    </row>
    <row r="66" spans="1:8" ht="26.25" customHeight="1" x14ac:dyDescent="0.4">
      <c r="A66" s="451" t="s">
        <v>101</v>
      </c>
      <c r="B66" s="452">
        <v>1</v>
      </c>
      <c r="C66" s="694"/>
      <c r="D66" s="697"/>
      <c r="E66" s="511">
        <v>3</v>
      </c>
      <c r="F66" s="464">
        <v>2696744</v>
      </c>
      <c r="G66" s="576">
        <f>IF(ISBLANK(F66),"-",(F66/$D$50*$D$47*$B$68)*($B$57/$D$64))</f>
        <v>394.29108638859833</v>
      </c>
      <c r="H66" s="594">
        <f t="shared" si="0"/>
        <v>98.572771597149583</v>
      </c>
    </row>
    <row r="67" spans="1:8" ht="27" customHeight="1" x14ac:dyDescent="0.4">
      <c r="A67" s="451" t="s">
        <v>102</v>
      </c>
      <c r="B67" s="452">
        <v>1</v>
      </c>
      <c r="C67" s="695"/>
      <c r="D67" s="698"/>
      <c r="E67" s="513">
        <v>4</v>
      </c>
      <c r="F67" s="514"/>
      <c r="G67" s="592" t="str">
        <f>IF(ISBLANK(F67),"-",(F67/$D$50*$D$47*$B$68)*($B$57/$D$64))</f>
        <v>-</v>
      </c>
      <c r="H67" s="595" t="str">
        <f t="shared" si="0"/>
        <v>-</v>
      </c>
    </row>
    <row r="68" spans="1:8" ht="26.25" customHeight="1" x14ac:dyDescent="0.4">
      <c r="A68" s="451" t="s">
        <v>103</v>
      </c>
      <c r="B68" s="515">
        <f>(B67/B66)*(B65/B64)*(B63/B62)*(B61/B60)*B59</f>
        <v>2500</v>
      </c>
      <c r="C68" s="693" t="s">
        <v>104</v>
      </c>
      <c r="D68" s="696">
        <v>1608.32</v>
      </c>
      <c r="E68" s="509">
        <v>1</v>
      </c>
      <c r="F68" s="510">
        <v>2643451</v>
      </c>
      <c r="G68" s="575">
        <f>IF(ISBLANK(F68),"-",(F68/$D$50*$D$47*$B$68)*($B$57/$D$68))</f>
        <v>386.61206076182629</v>
      </c>
      <c r="H68" s="594">
        <f t="shared" si="0"/>
        <v>96.653015190456571</v>
      </c>
    </row>
    <row r="69" spans="1:8" ht="27" customHeight="1" x14ac:dyDescent="0.4">
      <c r="A69" s="499" t="s">
        <v>105</v>
      </c>
      <c r="B69" s="516">
        <f>(D47*B68)/B56*B57</f>
        <v>1506.32765625</v>
      </c>
      <c r="C69" s="694"/>
      <c r="D69" s="697"/>
      <c r="E69" s="511">
        <v>2</v>
      </c>
      <c r="F69" s="464">
        <v>2636646</v>
      </c>
      <c r="G69" s="576">
        <f>IF(ISBLANK(F69),"-",(F69/$D$50*$D$47*$B$68)*($B$57/$D$68))</f>
        <v>385.61681058564204</v>
      </c>
      <c r="H69" s="594">
        <f t="shared" si="0"/>
        <v>96.404202646410511</v>
      </c>
    </row>
    <row r="70" spans="1:8" ht="26.25" customHeight="1" x14ac:dyDescent="0.4">
      <c r="A70" s="706" t="s">
        <v>78</v>
      </c>
      <c r="B70" s="707"/>
      <c r="C70" s="694"/>
      <c r="D70" s="697"/>
      <c r="E70" s="511">
        <v>3</v>
      </c>
      <c r="F70" s="464">
        <v>2648522</v>
      </c>
      <c r="G70" s="576">
        <f>IF(ISBLANK(F70),"-",(F70/$D$50*$D$47*$B$68)*($B$57/$D$68))</f>
        <v>387.35370861537945</v>
      </c>
      <c r="H70" s="594">
        <f t="shared" si="0"/>
        <v>96.838427153844862</v>
      </c>
    </row>
    <row r="71" spans="1:8" ht="27" customHeight="1" x14ac:dyDescent="0.4">
      <c r="A71" s="708"/>
      <c r="B71" s="709"/>
      <c r="C71" s="705"/>
      <c r="D71" s="698"/>
      <c r="E71" s="513">
        <v>4</v>
      </c>
      <c r="F71" s="514"/>
      <c r="G71" s="592" t="str">
        <f>IF(ISBLANK(F71),"-",(F71/$D$50*$D$47*$B$68)*($B$57/$D$68))</f>
        <v>-</v>
      </c>
      <c r="H71" s="595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71</v>
      </c>
      <c r="G72" s="581">
        <f>AVERAGE(G60:G71)</f>
        <v>386.22056748010868</v>
      </c>
      <c r="H72" s="596">
        <f>AVERAGE(H60:H71)</f>
        <v>96.555141870027171</v>
      </c>
    </row>
    <row r="73" spans="1:8" ht="26.25" customHeight="1" x14ac:dyDescent="0.4">
      <c r="C73" s="517"/>
      <c r="D73" s="517"/>
      <c r="E73" s="517"/>
      <c r="F73" s="520" t="s">
        <v>84</v>
      </c>
      <c r="G73" s="580">
        <f>STDEV(G60:G71)/G72</f>
        <v>1.8625041537624745E-2</v>
      </c>
      <c r="H73" s="580">
        <f>STDEV(H60:H71)/H72</f>
        <v>1.8625041537624745E-2</v>
      </c>
    </row>
    <row r="74" spans="1:8" ht="27" customHeight="1" x14ac:dyDescent="0.4">
      <c r="A74" s="517"/>
      <c r="B74" s="517"/>
      <c r="C74" s="518"/>
      <c r="D74" s="518"/>
      <c r="E74" s="521"/>
      <c r="F74" s="522" t="s">
        <v>20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35" t="s">
        <v>106</v>
      </c>
      <c r="B76" s="524" t="s">
        <v>107</v>
      </c>
      <c r="C76" s="701" t="str">
        <f>B26</f>
        <v xml:space="preserve"> Efavirenz </v>
      </c>
      <c r="D76" s="701"/>
      <c r="E76" s="525" t="s">
        <v>108</v>
      </c>
      <c r="F76" s="525"/>
      <c r="G76" s="612">
        <f>H72</f>
        <v>96.555141870027171</v>
      </c>
      <c r="H76" s="527"/>
    </row>
    <row r="77" spans="1:8" ht="18.75" x14ac:dyDescent="0.3">
      <c r="A77" s="434" t="s">
        <v>109</v>
      </c>
      <c r="B77" s="434" t="s">
        <v>110</v>
      </c>
    </row>
    <row r="78" spans="1:8" ht="18.75" x14ac:dyDescent="0.3">
      <c r="A78" s="434"/>
      <c r="B78" s="434"/>
    </row>
    <row r="79" spans="1:8" ht="26.25" customHeight="1" x14ac:dyDescent="0.4">
      <c r="A79" s="435" t="s">
        <v>4</v>
      </c>
      <c r="B79" s="687" t="str">
        <f>B26</f>
        <v xml:space="preserve"> Efavirenz </v>
      </c>
      <c r="C79" s="687"/>
    </row>
    <row r="80" spans="1:8" ht="26.25" customHeight="1" x14ac:dyDescent="0.4">
      <c r="A80" s="436" t="s">
        <v>48</v>
      </c>
      <c r="B80" s="687" t="str">
        <f>B27</f>
        <v>E15-6</v>
      </c>
      <c r="C80" s="687"/>
    </row>
    <row r="81" spans="1:12" ht="27" customHeight="1" x14ac:dyDescent="0.4">
      <c r="A81" s="436" t="s">
        <v>6</v>
      </c>
      <c r="B81" s="528">
        <f>B28</f>
        <v>97.21</v>
      </c>
    </row>
    <row r="82" spans="1:12" s="3" customFormat="1" ht="27" customHeight="1" x14ac:dyDescent="0.4">
      <c r="A82" s="436" t="s">
        <v>49</v>
      </c>
      <c r="B82" s="438">
        <v>0</v>
      </c>
      <c r="C82" s="678" t="s">
        <v>50</v>
      </c>
      <c r="D82" s="679"/>
      <c r="E82" s="679"/>
      <c r="F82" s="679"/>
      <c r="G82" s="680"/>
      <c r="I82" s="439"/>
      <c r="J82" s="439"/>
      <c r="K82" s="439"/>
      <c r="L82" s="439"/>
    </row>
    <row r="83" spans="1:12" s="3" customFormat="1" ht="19.5" customHeight="1" x14ac:dyDescent="0.3">
      <c r="A83" s="436" t="s">
        <v>51</v>
      </c>
      <c r="B83" s="440">
        <f>B81-B82</f>
        <v>97.21</v>
      </c>
      <c r="C83" s="441"/>
      <c r="D83" s="441"/>
      <c r="E83" s="441"/>
      <c r="F83" s="441"/>
      <c r="G83" s="442"/>
      <c r="I83" s="439"/>
      <c r="J83" s="439"/>
      <c r="K83" s="439"/>
      <c r="L83" s="439"/>
    </row>
    <row r="84" spans="1:12" s="3" customFormat="1" ht="27" customHeight="1" x14ac:dyDescent="0.4">
      <c r="A84" s="436" t="s">
        <v>52</v>
      </c>
      <c r="B84" s="443">
        <v>1</v>
      </c>
      <c r="C84" s="681" t="s">
        <v>111</v>
      </c>
      <c r="D84" s="682"/>
      <c r="E84" s="682"/>
      <c r="F84" s="682"/>
      <c r="G84" s="682"/>
      <c r="H84" s="683"/>
      <c r="I84" s="439"/>
      <c r="J84" s="439"/>
      <c r="K84" s="439"/>
      <c r="L84" s="439"/>
    </row>
    <row r="85" spans="1:12" s="3" customFormat="1" ht="27" customHeight="1" x14ac:dyDescent="0.4">
      <c r="A85" s="436" t="s">
        <v>54</v>
      </c>
      <c r="B85" s="443">
        <v>1</v>
      </c>
      <c r="C85" s="681" t="s">
        <v>112</v>
      </c>
      <c r="D85" s="682"/>
      <c r="E85" s="682"/>
      <c r="F85" s="682"/>
      <c r="G85" s="682"/>
      <c r="H85" s="683"/>
      <c r="I85" s="439"/>
      <c r="J85" s="439"/>
      <c r="K85" s="439"/>
      <c r="L85" s="439"/>
    </row>
    <row r="86" spans="1:12" s="3" customFormat="1" ht="18.75" x14ac:dyDescent="0.3">
      <c r="A86" s="436"/>
      <c r="B86" s="446"/>
      <c r="C86" s="447"/>
      <c r="D86" s="447"/>
      <c r="E86" s="447"/>
      <c r="F86" s="447"/>
      <c r="G86" s="447"/>
      <c r="H86" s="447"/>
      <c r="I86" s="439"/>
      <c r="J86" s="439"/>
      <c r="K86" s="439"/>
      <c r="L86" s="439"/>
    </row>
    <row r="87" spans="1:12" s="3" customFormat="1" ht="18.75" x14ac:dyDescent="0.3">
      <c r="A87" s="436" t="s">
        <v>56</v>
      </c>
      <c r="B87" s="448">
        <f>B84/B85</f>
        <v>1</v>
      </c>
      <c r="C87" s="426" t="s">
        <v>57</v>
      </c>
      <c r="D87" s="426"/>
      <c r="E87" s="426"/>
      <c r="F87" s="426"/>
      <c r="G87" s="426"/>
      <c r="I87" s="439"/>
      <c r="J87" s="439"/>
      <c r="K87" s="439"/>
      <c r="L87" s="439"/>
    </row>
    <row r="88" spans="1:12" ht="19.5" customHeight="1" x14ac:dyDescent="0.3">
      <c r="A88" s="434"/>
      <c r="B88" s="434"/>
    </row>
    <row r="89" spans="1:12" ht="27" customHeight="1" x14ac:dyDescent="0.4">
      <c r="A89" s="449" t="s">
        <v>58</v>
      </c>
      <c r="B89" s="450">
        <v>50</v>
      </c>
      <c r="D89" s="529" t="s">
        <v>59</v>
      </c>
      <c r="E89" s="530"/>
      <c r="F89" s="684" t="s">
        <v>60</v>
      </c>
      <c r="G89" s="686"/>
    </row>
    <row r="90" spans="1:12" ht="27" customHeight="1" x14ac:dyDescent="0.4">
      <c r="A90" s="451" t="s">
        <v>61</v>
      </c>
      <c r="B90" s="452">
        <v>1</v>
      </c>
      <c r="C90" s="531" t="s">
        <v>62</v>
      </c>
      <c r="D90" s="454" t="s">
        <v>63</v>
      </c>
      <c r="E90" s="455" t="s">
        <v>64</v>
      </c>
      <c r="F90" s="454" t="s">
        <v>63</v>
      </c>
      <c r="G90" s="532" t="s">
        <v>64</v>
      </c>
      <c r="I90" s="457" t="s">
        <v>65</v>
      </c>
    </row>
    <row r="91" spans="1:12" ht="26.25" customHeight="1" x14ac:dyDescent="0.4">
      <c r="A91" s="451" t="s">
        <v>66</v>
      </c>
      <c r="B91" s="452">
        <v>1</v>
      </c>
      <c r="C91" s="533">
        <v>1</v>
      </c>
      <c r="D91" s="459">
        <v>1514077</v>
      </c>
      <c r="E91" s="460">
        <f>IF(ISBLANK(D91),"-",$D$101/$D$98*D91)</f>
        <v>1432213.4684123839</v>
      </c>
      <c r="F91" s="459">
        <v>1400270</v>
      </c>
      <c r="G91" s="461">
        <f>IF(ISBLANK(F91),"-",$D$101/$F$98*F91)</f>
        <v>1446970.1662831986</v>
      </c>
      <c r="I91" s="462"/>
    </row>
    <row r="92" spans="1:12" ht="26.25" customHeight="1" x14ac:dyDescent="0.4">
      <c r="A92" s="451" t="s">
        <v>67</v>
      </c>
      <c r="B92" s="452">
        <v>1</v>
      </c>
      <c r="C92" s="518">
        <v>2</v>
      </c>
      <c r="D92" s="464">
        <v>1489883</v>
      </c>
      <c r="E92" s="465">
        <f>IF(ISBLANK(D92),"-",$D$101/$D$98*D92)</f>
        <v>1409327.5962574214</v>
      </c>
      <c r="F92" s="464">
        <v>1393465</v>
      </c>
      <c r="G92" s="466">
        <f>IF(ISBLANK(F92),"-",$D$101/$F$98*F92)</f>
        <v>1439938.2138871914</v>
      </c>
      <c r="I92" s="688">
        <f>ABS((F96/D96*D95)-F95)/D95</f>
        <v>1.409482450243661E-2</v>
      </c>
    </row>
    <row r="93" spans="1:12" ht="26.25" customHeight="1" x14ac:dyDescent="0.4">
      <c r="A93" s="451" t="s">
        <v>68</v>
      </c>
      <c r="B93" s="452">
        <v>1</v>
      </c>
      <c r="C93" s="518">
        <v>3</v>
      </c>
      <c r="D93" s="464">
        <v>1501459</v>
      </c>
      <c r="E93" s="465">
        <f>IF(ISBLANK(D93),"-",$D$101/$D$98*D93)</f>
        <v>1420277.7019061709</v>
      </c>
      <c r="F93" s="464">
        <v>1394039</v>
      </c>
      <c r="G93" s="466">
        <f>IF(ISBLANK(F93),"-",$D$101/$F$98*F93)</f>
        <v>1440531.3572634307</v>
      </c>
      <c r="I93" s="688"/>
    </row>
    <row r="94" spans="1:12" ht="27" customHeight="1" x14ac:dyDescent="0.4">
      <c r="A94" s="451" t="s">
        <v>69</v>
      </c>
      <c r="B94" s="452">
        <v>1</v>
      </c>
      <c r="C94" s="534">
        <v>4</v>
      </c>
      <c r="D94" s="469"/>
      <c r="E94" s="470" t="str">
        <f>IF(ISBLANK(D94),"-",$D$101/$D$98*D94)</f>
        <v>-</v>
      </c>
      <c r="F94" s="535"/>
      <c r="G94" s="471" t="str">
        <f>IF(ISBLANK(F94),"-",$D$101/$F$98*F94)</f>
        <v>-</v>
      </c>
      <c r="I94" s="472"/>
    </row>
    <row r="95" spans="1:12" ht="27" customHeight="1" x14ac:dyDescent="0.4">
      <c r="A95" s="451" t="s">
        <v>70</v>
      </c>
      <c r="B95" s="452">
        <v>1</v>
      </c>
      <c r="C95" s="536" t="s">
        <v>71</v>
      </c>
      <c r="D95" s="537">
        <f>AVERAGE(D91:D94)</f>
        <v>1501806.3333333333</v>
      </c>
      <c r="E95" s="475">
        <f>AVERAGE(E91:E94)</f>
        <v>1420606.2555253254</v>
      </c>
      <c r="F95" s="538">
        <f>AVERAGE(F91:F94)</f>
        <v>1395924.6666666667</v>
      </c>
      <c r="G95" s="539">
        <f>AVERAGE(G91:G94)</f>
        <v>1442479.9124779403</v>
      </c>
    </row>
    <row r="96" spans="1:12" ht="26.25" customHeight="1" x14ac:dyDescent="0.4">
      <c r="A96" s="451" t="s">
        <v>72</v>
      </c>
      <c r="B96" s="437">
        <v>1</v>
      </c>
      <c r="C96" s="540" t="s">
        <v>113</v>
      </c>
      <c r="D96" s="541">
        <v>21.75</v>
      </c>
      <c r="E96" s="467"/>
      <c r="F96" s="479">
        <v>19.91</v>
      </c>
    </row>
    <row r="97" spans="1:10" ht="26.25" customHeight="1" x14ac:dyDescent="0.4">
      <c r="A97" s="451" t="s">
        <v>74</v>
      </c>
      <c r="B97" s="437">
        <v>1</v>
      </c>
      <c r="C97" s="542" t="s">
        <v>114</v>
      </c>
      <c r="D97" s="543">
        <f>D96*$B$87</f>
        <v>21.75</v>
      </c>
      <c r="E97" s="482"/>
      <c r="F97" s="481">
        <f>F96*$B$87</f>
        <v>19.91</v>
      </c>
    </row>
    <row r="98" spans="1:10" ht="19.5" customHeight="1" x14ac:dyDescent="0.3">
      <c r="A98" s="451" t="s">
        <v>76</v>
      </c>
      <c r="B98" s="544">
        <f>(B97/B96)*(B95/B94)*(B93/B92)*(B91/B90)*B89</f>
        <v>50</v>
      </c>
      <c r="C98" s="542" t="s">
        <v>115</v>
      </c>
      <c r="D98" s="545">
        <f>D97*$B$83/100</f>
        <v>21.143174999999996</v>
      </c>
      <c r="E98" s="485"/>
      <c r="F98" s="484">
        <f>F97*$B$83/100</f>
        <v>19.354510999999999</v>
      </c>
    </row>
    <row r="99" spans="1:10" ht="19.5" customHeight="1" x14ac:dyDescent="0.3">
      <c r="A99" s="689" t="s">
        <v>78</v>
      </c>
      <c r="B99" s="703"/>
      <c r="C99" s="542" t="s">
        <v>116</v>
      </c>
      <c r="D99" s="546">
        <f>D98/$B$98</f>
        <v>0.42286349999999989</v>
      </c>
      <c r="E99" s="485"/>
      <c r="F99" s="488">
        <f>F98/$B$98</f>
        <v>0.38709021999999998</v>
      </c>
      <c r="G99" s="547"/>
      <c r="H99" s="477"/>
    </row>
    <row r="100" spans="1:10" ht="19.5" customHeight="1" x14ac:dyDescent="0.3">
      <c r="A100" s="691"/>
      <c r="B100" s="704"/>
      <c r="C100" s="542" t="s">
        <v>80</v>
      </c>
      <c r="D100" s="548">
        <f>$B$56/$B$116</f>
        <v>0.4</v>
      </c>
      <c r="F100" s="493"/>
      <c r="G100" s="549"/>
      <c r="H100" s="477"/>
    </row>
    <row r="101" spans="1:10" ht="18.75" x14ac:dyDescent="0.3">
      <c r="C101" s="542" t="s">
        <v>81</v>
      </c>
      <c r="D101" s="543">
        <f>D100*$B$98</f>
        <v>20</v>
      </c>
      <c r="F101" s="493"/>
      <c r="G101" s="547"/>
      <c r="H101" s="477"/>
    </row>
    <row r="102" spans="1:10" ht="19.5" customHeight="1" x14ac:dyDescent="0.3">
      <c r="C102" s="550" t="s">
        <v>82</v>
      </c>
      <c r="D102" s="551">
        <f>D101/B34</f>
        <v>20</v>
      </c>
      <c r="F102" s="497"/>
      <c r="G102" s="547"/>
      <c r="H102" s="477"/>
      <c r="J102" s="552"/>
    </row>
    <row r="103" spans="1:10" ht="18.75" x14ac:dyDescent="0.3">
      <c r="C103" s="553" t="s">
        <v>117</v>
      </c>
      <c r="D103" s="554">
        <f>AVERAGE(E91:E94,G91:G94)</f>
        <v>1431543.0840016326</v>
      </c>
      <c r="F103" s="497"/>
      <c r="G103" s="555"/>
      <c r="H103" s="477"/>
      <c r="J103" s="556"/>
    </row>
    <row r="104" spans="1:10" ht="18.75" x14ac:dyDescent="0.3">
      <c r="C104" s="520" t="s">
        <v>84</v>
      </c>
      <c r="D104" s="557">
        <f>STDEV(E91:E94,G91:G94)/D103</f>
        <v>9.9289457506898989E-3</v>
      </c>
      <c r="F104" s="497"/>
      <c r="G104" s="547"/>
      <c r="H104" s="477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7"/>
      <c r="G105" s="547"/>
      <c r="H105" s="477"/>
      <c r="J105" s="556"/>
    </row>
    <row r="106" spans="1:10" ht="19.5" customHeight="1" x14ac:dyDescent="0.3">
      <c r="A106" s="501"/>
      <c r="B106" s="501"/>
      <c r="C106" s="501"/>
      <c r="D106" s="501"/>
      <c r="E106" s="501"/>
    </row>
    <row r="107" spans="1:10" ht="27" customHeight="1" x14ac:dyDescent="0.4">
      <c r="A107" s="449" t="s">
        <v>118</v>
      </c>
      <c r="B107" s="450">
        <v>1000</v>
      </c>
      <c r="C107" s="597" t="s">
        <v>119</v>
      </c>
      <c r="D107" s="597" t="s">
        <v>63</v>
      </c>
      <c r="E107" s="597" t="s">
        <v>120</v>
      </c>
      <c r="F107" s="559" t="s">
        <v>121</v>
      </c>
    </row>
    <row r="108" spans="1:10" ht="26.25" customHeight="1" x14ac:dyDescent="0.4">
      <c r="A108" s="451" t="s">
        <v>122</v>
      </c>
      <c r="B108" s="452">
        <v>1</v>
      </c>
      <c r="C108" s="602">
        <v>1</v>
      </c>
      <c r="D108" s="603">
        <v>1428308</v>
      </c>
      <c r="E108" s="577">
        <f t="shared" ref="E108:E113" si="1">IF(ISBLANK(D108),"-",D108/$D$103*$D$100*$B$116)</f>
        <v>399.09605682489428</v>
      </c>
      <c r="F108" s="604">
        <f t="shared" ref="F108:F113" si="2">IF(ISBLANK(D108), "-", (E108/$B$56)*100)</f>
        <v>99.774014206223569</v>
      </c>
    </row>
    <row r="109" spans="1:10" ht="26.25" customHeight="1" x14ac:dyDescent="0.4">
      <c r="A109" s="451" t="s">
        <v>95</v>
      </c>
      <c r="B109" s="452">
        <v>1</v>
      </c>
      <c r="C109" s="598">
        <v>2</v>
      </c>
      <c r="D109" s="600">
        <v>1371899</v>
      </c>
      <c r="E109" s="578">
        <f t="shared" si="1"/>
        <v>383.33432373270733</v>
      </c>
      <c r="F109" s="605">
        <f t="shared" si="2"/>
        <v>95.833580933176833</v>
      </c>
    </row>
    <row r="110" spans="1:10" ht="26.25" customHeight="1" x14ac:dyDescent="0.4">
      <c r="A110" s="451" t="s">
        <v>96</v>
      </c>
      <c r="B110" s="452">
        <v>1</v>
      </c>
      <c r="C110" s="598">
        <v>3</v>
      </c>
      <c r="D110" s="600">
        <v>1416314</v>
      </c>
      <c r="E110" s="578">
        <f t="shared" si="1"/>
        <v>395.74470816231042</v>
      </c>
      <c r="F110" s="605">
        <f t="shared" si="2"/>
        <v>98.936177040577604</v>
      </c>
    </row>
    <row r="111" spans="1:10" ht="26.25" customHeight="1" x14ac:dyDescent="0.4">
      <c r="A111" s="451" t="s">
        <v>97</v>
      </c>
      <c r="B111" s="452">
        <v>1</v>
      </c>
      <c r="C111" s="598">
        <v>4</v>
      </c>
      <c r="D111" s="600">
        <v>1414678</v>
      </c>
      <c r="E111" s="578">
        <f t="shared" si="1"/>
        <v>395.28757906342878</v>
      </c>
      <c r="F111" s="605">
        <f t="shared" si="2"/>
        <v>98.821894765857195</v>
      </c>
    </row>
    <row r="112" spans="1:10" ht="26.25" customHeight="1" x14ac:dyDescent="0.4">
      <c r="A112" s="451" t="s">
        <v>98</v>
      </c>
      <c r="B112" s="452">
        <v>1</v>
      </c>
      <c r="C112" s="598">
        <v>5</v>
      </c>
      <c r="D112" s="600">
        <v>1428710</v>
      </c>
      <c r="E112" s="578">
        <f t="shared" si="1"/>
        <v>399.20838316826257</v>
      </c>
      <c r="F112" s="605">
        <f t="shared" si="2"/>
        <v>99.802095792065643</v>
      </c>
    </row>
    <row r="113" spans="1:10" ht="27" customHeight="1" x14ac:dyDescent="0.4">
      <c r="A113" s="451" t="s">
        <v>100</v>
      </c>
      <c r="B113" s="452">
        <v>1</v>
      </c>
      <c r="C113" s="599">
        <v>6</v>
      </c>
      <c r="D113" s="601">
        <v>1398346</v>
      </c>
      <c r="E113" s="579">
        <f t="shared" si="1"/>
        <v>390.72411180002047</v>
      </c>
      <c r="F113" s="606">
        <f t="shared" si="2"/>
        <v>97.681027950005117</v>
      </c>
    </row>
    <row r="114" spans="1:10" ht="27" customHeight="1" x14ac:dyDescent="0.4">
      <c r="A114" s="451" t="s">
        <v>101</v>
      </c>
      <c r="B114" s="452">
        <v>1</v>
      </c>
      <c r="C114" s="560"/>
      <c r="D114" s="518"/>
      <c r="E114" s="425"/>
      <c r="F114" s="607"/>
    </row>
    <row r="115" spans="1:10" ht="26.25" customHeight="1" x14ac:dyDescent="0.4">
      <c r="A115" s="451" t="s">
        <v>102</v>
      </c>
      <c r="B115" s="452">
        <v>1</v>
      </c>
      <c r="C115" s="560"/>
      <c r="D115" s="584" t="s">
        <v>71</v>
      </c>
      <c r="E115" s="586">
        <f>AVERAGE(E108:E113)</f>
        <v>393.89919379193731</v>
      </c>
      <c r="F115" s="608">
        <f>AVERAGE(F108:F113)</f>
        <v>98.474798447984327</v>
      </c>
    </row>
    <row r="116" spans="1:10" ht="27" customHeight="1" x14ac:dyDescent="0.4">
      <c r="A116" s="451" t="s">
        <v>103</v>
      </c>
      <c r="B116" s="483">
        <f>(B115/B114)*(B113/B112)*(B111/B110)*(B109/B108)*B107</f>
        <v>1000</v>
      </c>
      <c r="C116" s="561"/>
      <c r="D116" s="585" t="s">
        <v>84</v>
      </c>
      <c r="E116" s="583">
        <f>STDEV(E108:E113)/E115</f>
        <v>1.532622241260035E-2</v>
      </c>
      <c r="F116" s="562">
        <f>STDEV(F108:F113)/F115</f>
        <v>1.532622241260035E-2</v>
      </c>
      <c r="I116" s="425"/>
    </row>
    <row r="117" spans="1:10" ht="27" customHeight="1" x14ac:dyDescent="0.4">
      <c r="A117" s="689" t="s">
        <v>78</v>
      </c>
      <c r="B117" s="690"/>
      <c r="C117" s="563"/>
      <c r="D117" s="522" t="s">
        <v>20</v>
      </c>
      <c r="E117" s="588">
        <f>COUNT(E108:E113)</f>
        <v>6</v>
      </c>
      <c r="F117" s="589">
        <f>COUNT(F108:F113)</f>
        <v>6</v>
      </c>
      <c r="I117" s="425"/>
      <c r="J117" s="556"/>
    </row>
    <row r="118" spans="1:10" ht="26.25" customHeight="1" x14ac:dyDescent="0.3">
      <c r="A118" s="691"/>
      <c r="B118" s="692"/>
      <c r="C118" s="425"/>
      <c r="D118" s="587"/>
      <c r="E118" s="669" t="s">
        <v>123</v>
      </c>
      <c r="F118" s="670"/>
      <c r="G118" s="425"/>
      <c r="H118" s="425"/>
      <c r="I118" s="425"/>
    </row>
    <row r="119" spans="1:10" ht="25.5" customHeight="1" x14ac:dyDescent="0.4">
      <c r="A119" s="572"/>
      <c r="B119" s="447"/>
      <c r="C119" s="425"/>
      <c r="D119" s="585" t="s">
        <v>124</v>
      </c>
      <c r="E119" s="590">
        <f>MIN(E108:E113)</f>
        <v>383.33432373270733</v>
      </c>
      <c r="F119" s="609">
        <f>MIN(F108:F113)</f>
        <v>95.833580933176833</v>
      </c>
      <c r="G119" s="425"/>
      <c r="H119" s="425"/>
      <c r="I119" s="425"/>
    </row>
    <row r="120" spans="1:10" ht="24" customHeight="1" x14ac:dyDescent="0.4">
      <c r="A120" s="572"/>
      <c r="B120" s="447"/>
      <c r="C120" s="425"/>
      <c r="D120" s="494" t="s">
        <v>125</v>
      </c>
      <c r="E120" s="591">
        <f>MAX(E108:E113)</f>
        <v>399.20838316826257</v>
      </c>
      <c r="F120" s="610">
        <f>MAX(F108:F113)</f>
        <v>99.802095792065643</v>
      </c>
      <c r="G120" s="425"/>
      <c r="H120" s="425"/>
      <c r="I120" s="425"/>
    </row>
    <row r="121" spans="1:10" ht="27" customHeight="1" x14ac:dyDescent="0.3">
      <c r="A121" s="572"/>
      <c r="B121" s="447"/>
      <c r="C121" s="425"/>
      <c r="D121" s="425"/>
      <c r="E121" s="425"/>
      <c r="F121" s="518"/>
      <c r="G121" s="425"/>
      <c r="H121" s="425"/>
      <c r="I121" s="425"/>
    </row>
    <row r="122" spans="1:10" ht="25.5" customHeight="1" x14ac:dyDescent="0.3">
      <c r="A122" s="572"/>
      <c r="B122" s="447"/>
      <c r="C122" s="425"/>
      <c r="D122" s="425"/>
      <c r="E122" s="425"/>
      <c r="F122" s="518"/>
      <c r="G122" s="425"/>
      <c r="H122" s="425"/>
      <c r="I122" s="425"/>
    </row>
    <row r="123" spans="1:10" ht="18.75" x14ac:dyDescent="0.3">
      <c r="A123" s="572"/>
      <c r="B123" s="447"/>
      <c r="C123" s="425"/>
      <c r="D123" s="425"/>
      <c r="E123" s="425"/>
      <c r="F123" s="518"/>
      <c r="G123" s="425"/>
      <c r="H123" s="425"/>
      <c r="I123" s="425"/>
    </row>
    <row r="124" spans="1:10" ht="45.75" customHeight="1" x14ac:dyDescent="0.65">
      <c r="A124" s="435" t="s">
        <v>106</v>
      </c>
      <c r="B124" s="524" t="s">
        <v>126</v>
      </c>
      <c r="C124" s="701" t="str">
        <f>B26</f>
        <v xml:space="preserve"> Efavirenz </v>
      </c>
      <c r="D124" s="701"/>
      <c r="E124" s="525" t="s">
        <v>127</v>
      </c>
      <c r="F124" s="525"/>
      <c r="G124" s="611">
        <f>F115</f>
        <v>98.474798447984327</v>
      </c>
      <c r="H124" s="425"/>
      <c r="I124" s="425"/>
    </row>
    <row r="125" spans="1:10" ht="45.75" customHeight="1" x14ac:dyDescent="0.65">
      <c r="A125" s="435"/>
      <c r="B125" s="524" t="s">
        <v>128</v>
      </c>
      <c r="C125" s="436" t="s">
        <v>129</v>
      </c>
      <c r="D125" s="611">
        <f>MIN(F108:F113)</f>
        <v>95.833580933176833</v>
      </c>
      <c r="E125" s="536" t="s">
        <v>130</v>
      </c>
      <c r="F125" s="611">
        <f>MAX(F108:F113)</f>
        <v>99.802095792065643</v>
      </c>
      <c r="G125" s="526"/>
      <c r="H125" s="425"/>
      <c r="I125" s="425"/>
    </row>
    <row r="126" spans="1:10" ht="19.5" customHeight="1" x14ac:dyDescent="0.3">
      <c r="A126" s="564"/>
      <c r="B126" s="564"/>
      <c r="C126" s="565"/>
      <c r="D126" s="565"/>
      <c r="E126" s="565"/>
      <c r="F126" s="565"/>
      <c r="G126" s="565"/>
      <c r="H126" s="565"/>
    </row>
    <row r="127" spans="1:10" ht="18.75" x14ac:dyDescent="0.3">
      <c r="B127" s="702" t="s">
        <v>26</v>
      </c>
      <c r="C127" s="702"/>
      <c r="E127" s="531" t="s">
        <v>27</v>
      </c>
      <c r="F127" s="566"/>
      <c r="G127" s="702" t="s">
        <v>28</v>
      </c>
      <c r="H127" s="702"/>
    </row>
    <row r="128" spans="1:10" ht="69.95" customHeight="1" x14ac:dyDescent="0.3">
      <c r="A128" s="567" t="s">
        <v>29</v>
      </c>
      <c r="B128" s="568"/>
      <c r="C128" s="568"/>
      <c r="E128" s="568"/>
      <c r="F128" s="425"/>
      <c r="G128" s="569"/>
      <c r="H128" s="569"/>
    </row>
    <row r="129" spans="1:9" ht="69.95" customHeight="1" x14ac:dyDescent="0.3">
      <c r="A129" s="567" t="s">
        <v>30</v>
      </c>
      <c r="B129" s="570"/>
      <c r="C129" s="570"/>
      <c r="E129" s="570"/>
      <c r="F129" s="425"/>
      <c r="G129" s="571"/>
      <c r="H129" s="571"/>
    </row>
    <row r="130" spans="1:9" ht="18.75" x14ac:dyDescent="0.3">
      <c r="A130" s="517"/>
      <c r="B130" s="517"/>
      <c r="C130" s="518"/>
      <c r="D130" s="518"/>
      <c r="E130" s="518"/>
      <c r="F130" s="521"/>
      <c r="G130" s="518"/>
      <c r="H130" s="518"/>
      <c r="I130" s="425"/>
    </row>
    <row r="131" spans="1:9" ht="18.75" x14ac:dyDescent="0.3">
      <c r="A131" s="517"/>
      <c r="B131" s="517"/>
      <c r="C131" s="518"/>
      <c r="D131" s="518"/>
      <c r="E131" s="518"/>
      <c r="F131" s="521"/>
      <c r="G131" s="518"/>
      <c r="H131" s="518"/>
      <c r="I131" s="425"/>
    </row>
    <row r="132" spans="1:9" ht="18.75" x14ac:dyDescent="0.3">
      <c r="A132" s="517"/>
      <c r="B132" s="517"/>
      <c r="C132" s="518"/>
      <c r="D132" s="518"/>
      <c r="E132" s="518"/>
      <c r="F132" s="521"/>
      <c r="G132" s="518"/>
      <c r="H132" s="518"/>
      <c r="I132" s="425"/>
    </row>
    <row r="133" spans="1:9" ht="18.75" x14ac:dyDescent="0.3">
      <c r="A133" s="517"/>
      <c r="B133" s="517"/>
      <c r="C133" s="518"/>
      <c r="D133" s="518"/>
      <c r="E133" s="518"/>
      <c r="F133" s="521"/>
      <c r="G133" s="518"/>
      <c r="H133" s="518"/>
      <c r="I133" s="425"/>
    </row>
    <row r="134" spans="1:9" ht="18.75" x14ac:dyDescent="0.3">
      <c r="A134" s="517"/>
      <c r="B134" s="517"/>
      <c r="C134" s="518"/>
      <c r="D134" s="518"/>
      <c r="E134" s="518"/>
      <c r="F134" s="521"/>
      <c r="G134" s="518"/>
      <c r="H134" s="518"/>
      <c r="I134" s="425"/>
    </row>
    <row r="135" spans="1:9" ht="18.75" x14ac:dyDescent="0.3">
      <c r="A135" s="517"/>
      <c r="B135" s="517"/>
      <c r="C135" s="518"/>
      <c r="D135" s="518"/>
      <c r="E135" s="518"/>
      <c r="F135" s="521"/>
      <c r="G135" s="518"/>
      <c r="H135" s="518"/>
      <c r="I135" s="425"/>
    </row>
    <row r="136" spans="1:9" ht="18.75" x14ac:dyDescent="0.3">
      <c r="A136" s="517"/>
      <c r="B136" s="517"/>
      <c r="C136" s="518"/>
      <c r="D136" s="518"/>
      <c r="E136" s="518"/>
      <c r="F136" s="521"/>
      <c r="G136" s="518"/>
      <c r="H136" s="518"/>
      <c r="I136" s="425"/>
    </row>
    <row r="137" spans="1:9" ht="18.75" x14ac:dyDescent="0.3">
      <c r="A137" s="517"/>
      <c r="B137" s="517"/>
      <c r="C137" s="518"/>
      <c r="D137" s="518"/>
      <c r="E137" s="518"/>
      <c r="F137" s="521"/>
      <c r="G137" s="518"/>
      <c r="H137" s="518"/>
      <c r="I137" s="425"/>
    </row>
    <row r="138" spans="1:9" ht="18.75" x14ac:dyDescent="0.3">
      <c r="A138" s="517"/>
      <c r="B138" s="517"/>
      <c r="C138" s="518"/>
      <c r="D138" s="518"/>
      <c r="E138" s="518"/>
      <c r="F138" s="521"/>
      <c r="G138" s="518"/>
      <c r="H138" s="518"/>
      <c r="I138" s="42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TDF</vt:lpstr>
      <vt:lpstr>SST Lamivudine</vt:lpstr>
      <vt:lpstr>SST Efavirenz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2017-10-04T08:14:25Z</cp:lastPrinted>
  <dcterms:created xsi:type="dcterms:W3CDTF">2005-07-05T10:19:27Z</dcterms:created>
  <dcterms:modified xsi:type="dcterms:W3CDTF">2017-10-04T08:17:57Z</dcterms:modified>
</cp:coreProperties>
</file>