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1"/>
  </bookViews>
  <sheets>
    <sheet name="sst sulfa" sheetId="5" r:id="rId1"/>
    <sheet name="Sulfamethoxazole" sheetId="6" r:id="rId2"/>
    <sheet name="Trimethoprim" sheetId="7" r:id="rId3"/>
    <sheet name="sst trim" sheetId="8" r:id="rId4"/>
    <sheet name="Uniformity" sheetId="2" r:id="rId5"/>
  </sheets>
  <externalReferences>
    <externalReference r:id="rId6"/>
  </externalReference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C124" i="7"/>
  <c r="B116" i="7"/>
  <c r="D100" i="7"/>
  <c r="D101" i="7" s="1"/>
  <c r="B98" i="7"/>
  <c r="F95" i="7"/>
  <c r="D95" i="7"/>
  <c r="G94" i="7"/>
  <c r="E94" i="7"/>
  <c r="B87" i="7"/>
  <c r="F97" i="7" s="1"/>
  <c r="F98" i="7" s="1"/>
  <c r="B83" i="7"/>
  <c r="B81" i="7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B57" i="7"/>
  <c r="C56" i="7"/>
  <c r="B55" i="7"/>
  <c r="B45" i="7"/>
  <c r="D48" i="7" s="1"/>
  <c r="F42" i="7"/>
  <c r="D42" i="7"/>
  <c r="G41" i="7"/>
  <c r="E41" i="7"/>
  <c r="I39" i="7"/>
  <c r="B34" i="7"/>
  <c r="B30" i="7"/>
  <c r="C124" i="6"/>
  <c r="B116" i="6"/>
  <c r="D100" i="6"/>
  <c r="B98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57" i="6"/>
  <c r="C56" i="6"/>
  <c r="B55" i="6"/>
  <c r="D48" i="6"/>
  <c r="D49" i="6" s="1"/>
  <c r="B45" i="6"/>
  <c r="D44" i="6"/>
  <c r="F42" i="6"/>
  <c r="D42" i="6"/>
  <c r="G41" i="6"/>
  <c r="E41" i="6"/>
  <c r="I39" i="6"/>
  <c r="B34" i="6"/>
  <c r="F44" i="6" s="1"/>
  <c r="F45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G92" i="7" l="1"/>
  <c r="D97" i="7"/>
  <c r="D98" i="7" s="1"/>
  <c r="D45" i="6"/>
  <c r="D101" i="6"/>
  <c r="D102" i="7"/>
  <c r="B69" i="7"/>
  <c r="I92" i="7"/>
  <c r="I92" i="6"/>
  <c r="B69" i="6"/>
  <c r="D99" i="7"/>
  <c r="E92" i="7"/>
  <c r="E93" i="7"/>
  <c r="E91" i="7"/>
  <c r="E40" i="6"/>
  <c r="E38" i="6"/>
  <c r="D46" i="6"/>
  <c r="E39" i="6"/>
  <c r="G40" i="6"/>
  <c r="G38" i="6"/>
  <c r="F46" i="6"/>
  <c r="G93" i="7"/>
  <c r="G91" i="7"/>
  <c r="G95" i="7" s="1"/>
  <c r="F99" i="7"/>
  <c r="F98" i="6"/>
  <c r="F99" i="6" s="1"/>
  <c r="G39" i="6"/>
  <c r="D44" i="7"/>
  <c r="D45" i="7" s="1"/>
  <c r="D49" i="7"/>
  <c r="D97" i="6"/>
  <c r="D98" i="6" s="1"/>
  <c r="D99" i="6" s="1"/>
  <c r="E39" i="7"/>
  <c r="F44" i="7"/>
  <c r="F45" i="7" s="1"/>
  <c r="F46" i="7" s="1"/>
  <c r="C46" i="2"/>
  <c r="D50" i="2" s="1"/>
  <c r="C45" i="2"/>
  <c r="D38" i="2"/>
  <c r="D33" i="2"/>
  <c r="D28" i="2"/>
  <c r="D24" i="2"/>
  <c r="C19" i="2"/>
  <c r="D29" i="2" l="1"/>
  <c r="D34" i="2"/>
  <c r="D40" i="2"/>
  <c r="G39" i="7"/>
  <c r="D102" i="6"/>
  <c r="G92" i="6"/>
  <c r="E93" i="6"/>
  <c r="E92" i="6"/>
  <c r="G93" i="6"/>
  <c r="G91" i="6"/>
  <c r="E91" i="6"/>
  <c r="D25" i="2"/>
  <c r="D30" i="2"/>
  <c r="D36" i="2"/>
  <c r="D41" i="2"/>
  <c r="B49" i="2"/>
  <c r="D26" i="2"/>
  <c r="D32" i="2"/>
  <c r="D37" i="2"/>
  <c r="D42" i="2"/>
  <c r="E38" i="7"/>
  <c r="D46" i="7"/>
  <c r="E95" i="7"/>
  <c r="D105" i="7"/>
  <c r="D103" i="7"/>
  <c r="E40" i="7"/>
  <c r="G40" i="7"/>
  <c r="G38" i="7"/>
  <c r="G42" i="6"/>
  <c r="D52" i="6"/>
  <c r="D50" i="6"/>
  <c r="E42" i="6"/>
  <c r="D27" i="2"/>
  <c r="D31" i="2"/>
  <c r="D35" i="2"/>
  <c r="D39" i="2"/>
  <c r="D43" i="2"/>
  <c r="C49" i="2"/>
  <c r="D49" i="2"/>
  <c r="C50" i="2"/>
  <c r="E95" i="6" l="1"/>
  <c r="D103" i="6"/>
  <c r="D105" i="6"/>
  <c r="G95" i="6"/>
  <c r="G70" i="6"/>
  <c r="H70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65" i="6"/>
  <c r="H65" i="6" s="1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D52" i="7"/>
  <c r="D50" i="7"/>
  <c r="E42" i="7"/>
  <c r="G42" i="7"/>
  <c r="D104" i="6" l="1"/>
  <c r="E111" i="6"/>
  <c r="F111" i="6" s="1"/>
  <c r="E112" i="6"/>
  <c r="F112" i="6" s="1"/>
  <c r="E110" i="6"/>
  <c r="F110" i="6" s="1"/>
  <c r="E113" i="6"/>
  <c r="F113" i="6" s="1"/>
  <c r="E109" i="6"/>
  <c r="F109" i="6" s="1"/>
  <c r="E108" i="6"/>
  <c r="E115" i="7"/>
  <c r="E116" i="7" s="1"/>
  <c r="E119" i="7"/>
  <c r="E120" i="7"/>
  <c r="E117" i="7"/>
  <c r="F108" i="7"/>
  <c r="G74" i="6"/>
  <c r="H60" i="6"/>
  <c r="G72" i="6"/>
  <c r="G73" i="6" s="1"/>
  <c r="G68" i="7"/>
  <c r="H68" i="7" s="1"/>
  <c r="G65" i="7"/>
  <c r="H65" i="7" s="1"/>
  <c r="G69" i="7"/>
  <c r="H69" i="7" s="1"/>
  <c r="G61" i="7"/>
  <c r="H61" i="7" s="1"/>
  <c r="D51" i="7"/>
  <c r="G66" i="7"/>
  <c r="H66" i="7" s="1"/>
  <c r="G64" i="7"/>
  <c r="H64" i="7" s="1"/>
  <c r="G70" i="7"/>
  <c r="H70" i="7" s="1"/>
  <c r="G62" i="7"/>
  <c r="H62" i="7" s="1"/>
  <c r="G60" i="7"/>
  <c r="F108" i="6" l="1"/>
  <c r="E115" i="6"/>
  <c r="E116" i="6" s="1"/>
  <c r="E119" i="6"/>
  <c r="E120" i="6"/>
  <c r="E117" i="6"/>
  <c r="F119" i="7"/>
  <c r="F125" i="7"/>
  <c r="F120" i="7"/>
  <c r="F117" i="7"/>
  <c r="D125" i="7"/>
  <c r="F115" i="7"/>
  <c r="H74" i="6"/>
  <c r="H72" i="6"/>
  <c r="H60" i="7"/>
  <c r="G74" i="7"/>
  <c r="G72" i="7"/>
  <c r="G73" i="7" s="1"/>
  <c r="D125" i="6" l="1"/>
  <c r="F125" i="6"/>
  <c r="F119" i="6"/>
  <c r="F115" i="6"/>
  <c r="F117" i="6"/>
  <c r="F120" i="6"/>
  <c r="G124" i="7"/>
  <c r="F116" i="7"/>
  <c r="H74" i="7"/>
  <c r="H72" i="7"/>
  <c r="G76" i="6"/>
  <c r="H73" i="6"/>
  <c r="G124" i="6" l="1"/>
  <c r="F116" i="6"/>
  <c r="G76" i="7"/>
  <c r="H73" i="7"/>
</calcChain>
</file>

<file path=xl/sharedStrings.xml><?xml version="1.0" encoding="utf-8"?>
<sst xmlns="http://schemas.openxmlformats.org/spreadsheetml/2006/main" count="454" uniqueCount="139">
  <si>
    <t>HPLC System Suitability Report</t>
  </si>
  <si>
    <t>Analysis Data</t>
  </si>
  <si>
    <t>Assay</t>
  </si>
  <si>
    <t>Sample(s)</t>
  </si>
  <si>
    <t>Reference Substance:</t>
  </si>
  <si>
    <t>CO-TRIMOXAZOLE U.S.P  960 MG TABLETS</t>
  </si>
  <si>
    <t>% age Purity:</t>
  </si>
  <si>
    <t>NDQB201707009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</si>
  <si>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</si>
  <si>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</si>
  <si>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</si>
  <si>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</si>
  <si>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2017-07-19 08:27:28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</si>
  <si>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</si>
  <si>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</si>
  <si>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</si>
  <si>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</si>
  <si>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</si>
  <si>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</si>
  <si>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</si>
  <si>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</si>
  <si>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</si>
  <si>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</si>
  <si>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</si>
  <si>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</si>
  <si>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</si>
  <si>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</si>
  <si>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</si>
  <si>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</si>
  <si>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</si>
  <si>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</si>
  <si>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</si>
  <si>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</si>
  <si>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</si>
  <si>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</si>
  <si>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</si>
  <si>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</si>
  <si>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</si>
  <si>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</si>
  <si>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</si>
  <si>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</si>
  <si>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</si>
  <si>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</si>
  <si>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</si>
  <si>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</si>
  <si>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</si>
  <si>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</si>
  <si>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</si>
  <si>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</si>
  <si>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</si>
  <si>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</si>
  <si>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</si>
  <si>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</si>
  <si>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</si>
  <si>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</si>
  <si>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</si>
  <si>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</si>
  <si>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</si>
  <si>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</si>
  <si>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</si>
  <si>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</si>
  <si>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</si>
  <si>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</si>
  <si>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</si>
  <si>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</si>
  <si>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</si>
  <si>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</si>
  <si>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</si>
  <si>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</si>
  <si>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</si>
  <si>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</si>
  <si>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</si>
  <si>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</si>
  <si>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</si>
  <si>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</si>
  <si>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</si>
  <si>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</si>
  <si>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</si>
  <si>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</si>
  <si>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</si>
  <si>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</si>
  <si>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</si>
  <si>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</si>
  <si>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</si>
  <si>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</si>
  <si>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</si>
  <si>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</si>
  <si>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</si>
  <si>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</si>
  <si>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</si>
  <si>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</si>
  <si>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</si>
  <si>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</si>
  <si>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</si>
  <si>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</si>
  <si>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</si>
  <si>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</si>
  <si>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</si>
  <si>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</si>
  <si>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</si>
  <si>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</si>
  <si>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</si>
  <si>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</si>
  <si>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</si>
  <si>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</si>
  <si>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</si>
  <si>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</si>
  <si>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</si>
  <si>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</si>
  <si>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</si>
  <si>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</si>
  <si>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</si>
  <si>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</si>
  <si>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</si>
  <si>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</si>
  <si>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</si>
  <si>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</si>
  <si>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</si>
  <si>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</si>
  <si>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</si>
  <si>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</si>
  <si>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</si>
  <si>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</si>
  <si>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</si>
  <si>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</si>
  <si>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</si>
  <si>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</si>
  <si>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</si>
  <si>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</si>
  <si>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</si>
  <si>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</si>
  <si>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</si>
  <si>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2017-07-20 14:50:03</t>
  </si>
  <si>
    <t>sulfamethoxazole</t>
  </si>
  <si>
    <t>Sulfamethoxazole</t>
  </si>
  <si>
    <t>S12-6</t>
  </si>
  <si>
    <t>Trimethoprim</t>
  </si>
  <si>
    <t>T7-4</t>
  </si>
  <si>
    <t>NDQB201707008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</si>
</sst>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0" fontId="26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27" fillId="3" borderId="0" xfId="1" applyFont="1" applyFill="1" applyAlignment="1" applyProtection="1">
      <alignment horizontal="left" wrapText="1"/>
      <protection locked="0"/>
    </xf>
    <xf numFmtId="0" fontId="28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27" fillId="3" borderId="0" xfId="2" applyFont="1" applyFill="1" applyAlignment="1" applyProtection="1">
      <alignment horizontal="left" wrapText="1"/>
      <protection locked="0"/>
    </xf>
    <xf numFmtId="0" fontId="28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ena/AppData/Local/Temp/NDQB20170700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fa"/>
      <sheetName val="Sulfamethoxazole"/>
      <sheetName val="Trimethoprim"/>
      <sheetName val="sst trim"/>
      <sheetName val="Uniformity"/>
    </sheetNames>
    <sheetDataSet>
      <sheetData sheetId="0"/>
      <sheetData sheetId="1"/>
      <sheetData sheetId="2"/>
      <sheetData sheetId="3"/>
      <sheetData sheetId="4">
        <row r="46">
          <cell r="C46">
            <v>1053.2165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29" sqref="E2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57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8">
        <v>99.02</v>
      </c>
      <c r="C19" s="55"/>
      <c r="D19" s="55"/>
      <c r="E19" s="55"/>
    </row>
    <row r="20" spans="1:5" ht="16.5" customHeight="1" x14ac:dyDescent="0.3">
      <c r="A20" s="53" t="s">
        <v>8</v>
      </c>
      <c r="B20" s="58">
        <v>16.34</v>
      </c>
      <c r="C20" s="55"/>
      <c r="D20" s="55"/>
      <c r="E20" s="55"/>
    </row>
    <row r="21" spans="1:5" ht="16.5" customHeight="1" x14ac:dyDescent="0.3">
      <c r="A21" s="53" t="s">
        <v>10</v>
      </c>
      <c r="B21" s="59">
        <f>B20/100</f>
        <v>0.16339999999999999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38789206</v>
      </c>
      <c r="C24" s="63">
        <v>6347.35</v>
      </c>
      <c r="D24" s="64">
        <v>0.91</v>
      </c>
      <c r="E24" s="65">
        <v>8.6</v>
      </c>
    </row>
    <row r="25" spans="1:5" ht="16.5" customHeight="1" x14ac:dyDescent="0.3">
      <c r="A25" s="62">
        <v>2</v>
      </c>
      <c r="B25" s="63">
        <v>38848230</v>
      </c>
      <c r="C25" s="63">
        <v>6350.95</v>
      </c>
      <c r="D25" s="64">
        <v>0.92</v>
      </c>
      <c r="E25" s="64">
        <v>8.6</v>
      </c>
    </row>
    <row r="26" spans="1:5" ht="16.5" customHeight="1" x14ac:dyDescent="0.3">
      <c r="A26" s="62">
        <v>3</v>
      </c>
      <c r="B26" s="63">
        <v>38819985</v>
      </c>
      <c r="C26" s="63">
        <v>6363.72</v>
      </c>
      <c r="D26" s="64">
        <v>0.91</v>
      </c>
      <c r="E26" s="64">
        <v>8.6</v>
      </c>
    </row>
    <row r="27" spans="1:5" ht="16.5" customHeight="1" x14ac:dyDescent="0.3">
      <c r="A27" s="62">
        <v>4</v>
      </c>
      <c r="B27" s="63">
        <v>38801645</v>
      </c>
      <c r="C27" s="63">
        <v>6350.98</v>
      </c>
      <c r="D27" s="64">
        <v>0.91</v>
      </c>
      <c r="E27" s="64">
        <v>8.6</v>
      </c>
    </row>
    <row r="28" spans="1:5" ht="16.5" customHeight="1" x14ac:dyDescent="0.3">
      <c r="A28" s="62">
        <v>5</v>
      </c>
      <c r="B28" s="63">
        <v>39166562</v>
      </c>
      <c r="C28" s="63">
        <v>6334.79</v>
      </c>
      <c r="D28" s="64">
        <v>0.91</v>
      </c>
      <c r="E28" s="64">
        <v>8.6</v>
      </c>
    </row>
    <row r="29" spans="1:5" ht="16.5" customHeight="1" x14ac:dyDescent="0.3">
      <c r="A29" s="62">
        <v>6</v>
      </c>
      <c r="B29" s="66">
        <v>39379475</v>
      </c>
      <c r="C29" s="66">
        <v>6330.74</v>
      </c>
      <c r="D29" s="67">
        <v>0.91</v>
      </c>
      <c r="E29" s="67">
        <v>8.6</v>
      </c>
    </row>
    <row r="30" spans="1:5" ht="16.5" customHeight="1" x14ac:dyDescent="0.3">
      <c r="A30" s="68" t="s">
        <v>18</v>
      </c>
      <c r="B30" s="69">
        <f>AVERAGE(B24:B29)</f>
        <v>38967517.166666664</v>
      </c>
      <c r="C30" s="70">
        <f>AVERAGE(C24:C29)</f>
        <v>6346.4216666666662</v>
      </c>
      <c r="D30" s="71">
        <f>AVERAGE(D24:D29)</f>
        <v>0.91166666666666674</v>
      </c>
      <c r="E30" s="71">
        <f>AVERAGE(E24:E29)</f>
        <v>8.6</v>
      </c>
    </row>
    <row r="31" spans="1:5" ht="16.5" customHeight="1" x14ac:dyDescent="0.3">
      <c r="A31" s="72" t="s">
        <v>19</v>
      </c>
      <c r="B31" s="73">
        <f>(STDEV(B24:B29)/B30)</f>
        <v>6.3343174188342996E-3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133</v>
      </c>
      <c r="C39" s="55"/>
      <c r="D39" s="55"/>
      <c r="E39" s="55"/>
    </row>
    <row r="40" spans="1:5" ht="16.5" customHeight="1" x14ac:dyDescent="0.3">
      <c r="A40" s="56" t="s">
        <v>6</v>
      </c>
      <c r="B40" s="58">
        <v>99.02</v>
      </c>
      <c r="C40" s="55"/>
      <c r="D40" s="55"/>
      <c r="E40" s="55"/>
    </row>
    <row r="41" spans="1:5" ht="16.5" customHeight="1" x14ac:dyDescent="0.3">
      <c r="A41" s="53" t="s">
        <v>8</v>
      </c>
      <c r="B41" s="58">
        <v>16.34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0.16339999999999999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36551537</v>
      </c>
      <c r="C45" s="63">
        <v>7747.2</v>
      </c>
      <c r="D45" s="64">
        <v>1.1000000000000001</v>
      </c>
      <c r="E45" s="65">
        <v>9.1</v>
      </c>
    </row>
    <row r="46" spans="1:5" ht="16.5" customHeight="1" x14ac:dyDescent="0.3">
      <c r="A46" s="62">
        <v>2</v>
      </c>
      <c r="B46" s="63">
        <v>36626283</v>
      </c>
      <c r="C46" s="63">
        <v>7718.5</v>
      </c>
      <c r="D46" s="64">
        <v>1.1000000000000001</v>
      </c>
      <c r="E46" s="64">
        <v>9.1</v>
      </c>
    </row>
    <row r="47" spans="1:5" ht="16.5" customHeight="1" x14ac:dyDescent="0.3">
      <c r="A47" s="62">
        <v>3</v>
      </c>
      <c r="B47" s="63">
        <v>36464344</v>
      </c>
      <c r="C47" s="63">
        <v>7714</v>
      </c>
      <c r="D47" s="64">
        <v>1.1000000000000001</v>
      </c>
      <c r="E47" s="64">
        <v>9.1</v>
      </c>
    </row>
    <row r="48" spans="1:5" ht="16.5" customHeight="1" x14ac:dyDescent="0.3">
      <c r="A48" s="62">
        <v>4</v>
      </c>
      <c r="B48" s="63">
        <v>36557015</v>
      </c>
      <c r="C48" s="63">
        <v>7712.1</v>
      </c>
      <c r="D48" s="64">
        <v>1.1000000000000001</v>
      </c>
      <c r="E48" s="64">
        <v>9.1</v>
      </c>
    </row>
    <row r="49" spans="1:7" ht="16.5" customHeight="1" x14ac:dyDescent="0.3">
      <c r="A49" s="62">
        <v>5</v>
      </c>
      <c r="B49" s="63">
        <v>36854221</v>
      </c>
      <c r="C49" s="63">
        <v>7705.6</v>
      </c>
      <c r="D49" s="64">
        <v>1.1000000000000001</v>
      </c>
      <c r="E49" s="64">
        <v>9.1</v>
      </c>
    </row>
    <row r="50" spans="1:7" ht="16.5" customHeight="1" x14ac:dyDescent="0.3">
      <c r="A50" s="62">
        <v>6</v>
      </c>
      <c r="B50" s="66">
        <v>36392231</v>
      </c>
      <c r="C50" s="66">
        <v>7702.9</v>
      </c>
      <c r="D50" s="67">
        <v>1.1000000000000001</v>
      </c>
      <c r="E50" s="67">
        <v>9.1</v>
      </c>
    </row>
    <row r="51" spans="1:7" ht="16.5" customHeight="1" x14ac:dyDescent="0.3">
      <c r="A51" s="68" t="s">
        <v>18</v>
      </c>
      <c r="B51" s="69">
        <f>AVERAGE(B45:B50)</f>
        <v>36574271.833333336</v>
      </c>
      <c r="C51" s="70">
        <f>AVERAGE(C45:C50)</f>
        <v>7716.7166666666672</v>
      </c>
      <c r="D51" s="71">
        <f>AVERAGE(D45:D50)</f>
        <v>1.0999999999999999</v>
      </c>
      <c r="E51" s="71">
        <f>AVERAGE(E45:E50)</f>
        <v>9.1</v>
      </c>
    </row>
    <row r="52" spans="1:7" ht="16.5" customHeight="1" x14ac:dyDescent="0.3">
      <c r="A52" s="72" t="s">
        <v>19</v>
      </c>
      <c r="B52" s="73">
        <f>(STDEV(B45:B50)/B51)</f>
        <v>4.3594993797373416E-3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467" t="s">
        <v>26</v>
      </c>
      <c r="C59" s="467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7" zoomScale="55" zoomScaleNormal="40" zoomScalePageLayoutView="55" workbookViewId="0">
      <selection activeCell="E111" sqref="E111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471" t="s">
        <v>45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25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25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25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25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25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25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25">
      <c r="A8" s="472" t="s">
        <v>46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25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25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25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25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25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25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thickBot="1" x14ac:dyDescent="0.35">
      <c r="A15" s="93"/>
    </row>
    <row r="16" spans="1:9" ht="19.5" customHeight="1" thickBot="1" x14ac:dyDescent="0.35">
      <c r="A16" s="473" t="s">
        <v>31</v>
      </c>
      <c r="B16" s="474"/>
      <c r="C16" s="474"/>
      <c r="D16" s="474"/>
      <c r="E16" s="474"/>
      <c r="F16" s="474"/>
      <c r="G16" s="474"/>
      <c r="H16" s="475"/>
    </row>
    <row r="17" spans="1:14" ht="20.25" customHeight="1" x14ac:dyDescent="0.25">
      <c r="A17" s="476" t="s">
        <v>47</v>
      </c>
      <c r="B17" s="476"/>
      <c r="C17" s="476"/>
      <c r="D17" s="476"/>
      <c r="E17" s="476"/>
      <c r="F17" s="476"/>
      <c r="G17" s="476"/>
      <c r="H17" s="476"/>
    </row>
    <row r="18" spans="1:14" ht="26.25" customHeight="1" x14ac:dyDescent="0.4">
      <c r="A18" s="94" t="s">
        <v>33</v>
      </c>
      <c r="B18" s="477" t="s">
        <v>5</v>
      </c>
      <c r="C18" s="477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138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478" t="s">
        <v>9</v>
      </c>
      <c r="C20" s="478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478" t="s">
        <v>11</v>
      </c>
      <c r="C21" s="478"/>
      <c r="D21" s="478"/>
      <c r="E21" s="478"/>
      <c r="F21" s="478"/>
      <c r="G21" s="478"/>
      <c r="H21" s="478"/>
      <c r="I21" s="99"/>
    </row>
    <row r="22" spans="1:14" ht="26.25" customHeight="1" x14ac:dyDescent="0.4">
      <c r="A22" s="94" t="s">
        <v>37</v>
      </c>
      <c r="B22" s="100" t="s">
        <v>132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42944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479" t="s">
        <v>134</v>
      </c>
      <c r="C26" s="477"/>
    </row>
    <row r="27" spans="1:14" ht="26.25" customHeight="1" x14ac:dyDescent="0.4">
      <c r="A27" s="104" t="s">
        <v>48</v>
      </c>
      <c r="B27" s="480" t="s">
        <v>135</v>
      </c>
      <c r="C27" s="481"/>
    </row>
    <row r="28" spans="1:14" ht="27" customHeight="1" thickBot="1" x14ac:dyDescent="0.45">
      <c r="A28" s="104" t="s">
        <v>6</v>
      </c>
      <c r="B28" s="105">
        <v>99.02</v>
      </c>
    </row>
    <row r="29" spans="1:14" s="60" customFormat="1" ht="27" customHeight="1" thickBot="1" x14ac:dyDescent="0.45">
      <c r="A29" s="104" t="s">
        <v>49</v>
      </c>
      <c r="B29" s="106">
        <v>0</v>
      </c>
      <c r="C29" s="482" t="s">
        <v>50</v>
      </c>
      <c r="D29" s="483"/>
      <c r="E29" s="483"/>
      <c r="F29" s="483"/>
      <c r="G29" s="484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99.02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468" t="s">
        <v>53</v>
      </c>
      <c r="D31" s="469"/>
      <c r="E31" s="469"/>
      <c r="F31" s="469"/>
      <c r="G31" s="469"/>
      <c r="H31" s="470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468" t="s">
        <v>55</v>
      </c>
      <c r="D32" s="469"/>
      <c r="E32" s="469"/>
      <c r="F32" s="469"/>
      <c r="G32" s="469"/>
      <c r="H32" s="470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100</v>
      </c>
      <c r="C36" s="93"/>
      <c r="D36" s="486" t="s">
        <v>59</v>
      </c>
      <c r="E36" s="487"/>
      <c r="F36" s="486" t="s">
        <v>60</v>
      </c>
      <c r="G36" s="488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39226268</v>
      </c>
      <c r="E38" s="128">
        <f>IF(ISBLANK(D38),"-",$D$48/$D$45*D38)</f>
        <v>38790198.288391478</v>
      </c>
      <c r="F38" s="127">
        <v>42057822</v>
      </c>
      <c r="G38" s="129">
        <f>IF(ISBLANK(F38),"-",$D$48/$F$45*F38)</f>
        <v>38093334.408141494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39200431</v>
      </c>
      <c r="E39" s="133">
        <f>IF(ISBLANK(D39),"-",$D$48/$D$45*D39)</f>
        <v>38764648.512583666</v>
      </c>
      <c r="F39" s="132">
        <v>42370911</v>
      </c>
      <c r="G39" s="134">
        <f>IF(ISBLANK(F39),"-",$D$48/$F$45*F39)</f>
        <v>38376910.765864216</v>
      </c>
      <c r="I39" s="489">
        <f>ABS((F43/D43*D42)-F42)/D42</f>
        <v>1.360973027019576E-2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38956426</v>
      </c>
      <c r="E40" s="133">
        <f>IF(ISBLANK(D40),"-",$D$48/$D$45*D40)</f>
        <v>38523356.061990127</v>
      </c>
      <c r="F40" s="132">
        <v>42132524</v>
      </c>
      <c r="G40" s="134">
        <f>IF(ISBLANK(F40),"-",$D$48/$F$45*F40)</f>
        <v>38160994.789293826</v>
      </c>
      <c r="I40" s="489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39127708.333333336</v>
      </c>
      <c r="E42" s="142">
        <f>AVERAGE(E38:E41)</f>
        <v>38692734.287655093</v>
      </c>
      <c r="F42" s="141">
        <f>AVERAGE(F38:F41)</f>
        <v>42187085.666666664</v>
      </c>
      <c r="G42" s="143">
        <f>AVERAGE(G38:G41)</f>
        <v>38210413.321099848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16.34</v>
      </c>
      <c r="E43" s="93"/>
      <c r="F43" s="145">
        <v>17.84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16.34</v>
      </c>
      <c r="E44" s="148"/>
      <c r="F44" s="147">
        <f>F43*$B$34</f>
        <v>17.84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100</v>
      </c>
      <c r="C45" s="146" t="s">
        <v>77</v>
      </c>
      <c r="D45" s="149">
        <f>D44*$B$30/100</f>
        <v>16.179867999999999</v>
      </c>
      <c r="E45" s="150"/>
      <c r="F45" s="149">
        <f>F44*$B$30/100</f>
        <v>17.665167999999998</v>
      </c>
      <c r="H45" s="84"/>
    </row>
    <row r="46" spans="1:14" ht="19.5" customHeight="1" thickBot="1" x14ac:dyDescent="0.35">
      <c r="A46" s="490" t="s">
        <v>78</v>
      </c>
      <c r="B46" s="491"/>
      <c r="C46" s="146" t="s">
        <v>79</v>
      </c>
      <c r="D46" s="151">
        <f>D45/$B$45</f>
        <v>0.16179868</v>
      </c>
      <c r="E46" s="152"/>
      <c r="F46" s="153">
        <f>F45/$B$45</f>
        <v>0.17665167999999998</v>
      </c>
      <c r="H46" s="84"/>
    </row>
    <row r="47" spans="1:14" ht="27" customHeight="1" thickBot="1" x14ac:dyDescent="0.45">
      <c r="A47" s="492"/>
      <c r="B47" s="493"/>
      <c r="C47" s="154" t="s">
        <v>80</v>
      </c>
      <c r="D47" s="155">
        <v>0.16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16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16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38451573.804377474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7.6812933605635552E-3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tablet contains: Sulphamethoxazole B.P. 800 mg and Trimethoprim B.P. 160 mg.</v>
      </c>
    </row>
    <row r="56" spans="1:12" ht="26.25" customHeight="1" x14ac:dyDescent="0.4">
      <c r="A56" s="168" t="s">
        <v>87</v>
      </c>
      <c r="B56" s="169">
        <v>800</v>
      </c>
      <c r="C56" s="93" t="str">
        <f>B20</f>
        <v>Sulfamethoxazole &amp; Trimethoprim</v>
      </c>
      <c r="H56" s="148"/>
    </row>
    <row r="57" spans="1:12" ht="18.75" x14ac:dyDescent="0.3">
      <c r="A57" s="168" t="s">
        <v>88</v>
      </c>
      <c r="B57" s="170">
        <f>[1]Uniformity!C46</f>
        <v>1053.2165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2</v>
      </c>
      <c r="C60" s="494" t="s">
        <v>94</v>
      </c>
      <c r="D60" s="497">
        <v>1048.74</v>
      </c>
      <c r="E60" s="173">
        <v>1</v>
      </c>
      <c r="F60" s="174">
        <v>37797292</v>
      </c>
      <c r="G60" s="175">
        <f>IF(ISBLANK(F60),"-",(F60/$D$50*$D$47*$B$68)*($B$57/$D$60))</f>
        <v>789.74407136161028</v>
      </c>
      <c r="H60" s="176">
        <f t="shared" ref="H60:H71" si="0">IF(ISBLANK(F60),"-",(G60/$B$56)*100)</f>
        <v>98.718008920201285</v>
      </c>
      <c r="L60" s="107"/>
    </row>
    <row r="61" spans="1:12" s="60" customFormat="1" ht="26.25" customHeight="1" x14ac:dyDescent="0.4">
      <c r="A61" s="119" t="s">
        <v>95</v>
      </c>
      <c r="B61" s="120">
        <v>100</v>
      </c>
      <c r="C61" s="495"/>
      <c r="D61" s="498"/>
      <c r="E61" s="177">
        <v>2</v>
      </c>
      <c r="F61" s="132">
        <v>37997011</v>
      </c>
      <c r="G61" s="178">
        <f>IF(ISBLANK(F61),"-",(F61/$D$50*$D$47*$B$68)*($B$57/$D$60))</f>
        <v>793.91703952526245</v>
      </c>
      <c r="H61" s="179">
        <f t="shared" si="0"/>
        <v>99.239629940657807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495"/>
      <c r="D62" s="498"/>
      <c r="E62" s="177">
        <v>3</v>
      </c>
      <c r="F62" s="180">
        <v>38095652</v>
      </c>
      <c r="G62" s="178">
        <f>IF(ISBLANK(F62),"-",(F62/$D$50*$D$47*$B$68)*($B$57/$D$60))</f>
        <v>795.97806402784283</v>
      </c>
      <c r="H62" s="179">
        <f t="shared" si="0"/>
        <v>99.497258003480354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496"/>
      <c r="D63" s="499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494" t="s">
        <v>99</v>
      </c>
      <c r="D64" s="497">
        <v>1070.42</v>
      </c>
      <c r="E64" s="173">
        <v>1</v>
      </c>
      <c r="F64" s="174">
        <v>38769618</v>
      </c>
      <c r="G64" s="175">
        <f>IF(ISBLANK(F64),"-",(F64/$D$50*$D$47*$B$68)*($B$57/$D$64))</f>
        <v>793.65330336381533</v>
      </c>
      <c r="H64" s="176">
        <f t="shared" si="0"/>
        <v>99.206662920476916</v>
      </c>
    </row>
    <row r="65" spans="1:8" ht="26.25" customHeight="1" x14ac:dyDescent="0.4">
      <c r="A65" s="119" t="s">
        <v>100</v>
      </c>
      <c r="B65" s="120">
        <v>1</v>
      </c>
      <c r="C65" s="495"/>
      <c r="D65" s="498"/>
      <c r="E65" s="177">
        <v>2</v>
      </c>
      <c r="F65" s="132">
        <v>38948371</v>
      </c>
      <c r="G65" s="178">
        <f>IF(ISBLANK(F65),"-",(F65/$D$50*$D$47*$B$68)*($B$57/$D$64))</f>
        <v>797.31255811675624</v>
      </c>
      <c r="H65" s="179">
        <f t="shared" si="0"/>
        <v>99.664069764594529</v>
      </c>
    </row>
    <row r="66" spans="1:8" ht="26.25" customHeight="1" x14ac:dyDescent="0.4">
      <c r="A66" s="119" t="s">
        <v>101</v>
      </c>
      <c r="B66" s="120">
        <v>1</v>
      </c>
      <c r="C66" s="495"/>
      <c r="D66" s="498"/>
      <c r="E66" s="177">
        <v>3</v>
      </c>
      <c r="F66" s="132">
        <v>39161627</v>
      </c>
      <c r="G66" s="178">
        <f>IF(ISBLANK(F66),"-",(F66/$D$50*$D$47*$B$68)*($B$57/$D$64))</f>
        <v>801.67812418609822</v>
      </c>
      <c r="H66" s="179">
        <f t="shared" si="0"/>
        <v>100.20976552326229</v>
      </c>
    </row>
    <row r="67" spans="1:8" ht="27" customHeight="1" thickBot="1" x14ac:dyDescent="0.45">
      <c r="A67" s="119" t="s">
        <v>102</v>
      </c>
      <c r="B67" s="120">
        <v>1</v>
      </c>
      <c r="C67" s="496"/>
      <c r="D67" s="499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5000</v>
      </c>
      <c r="C68" s="494" t="s">
        <v>104</v>
      </c>
      <c r="D68" s="497">
        <v>1060.28</v>
      </c>
      <c r="E68" s="173">
        <v>1</v>
      </c>
      <c r="F68" s="174">
        <v>38130268</v>
      </c>
      <c r="G68" s="175">
        <f>IF(ISBLANK(F68),"-",(F68/$D$50*$D$47*$B$68)*($B$57/$D$68))</f>
        <v>788.03010596204786</v>
      </c>
      <c r="H68" s="179">
        <f t="shared" si="0"/>
        <v>98.503763245255982</v>
      </c>
    </row>
    <row r="69" spans="1:8" ht="27" customHeight="1" thickBot="1" x14ac:dyDescent="0.45">
      <c r="A69" s="164" t="s">
        <v>105</v>
      </c>
      <c r="B69" s="186">
        <f>(D47*B68)/B56*B57</f>
        <v>1053.2165</v>
      </c>
      <c r="C69" s="495"/>
      <c r="D69" s="498"/>
      <c r="E69" s="177">
        <v>2</v>
      </c>
      <c r="F69" s="132">
        <v>38590127</v>
      </c>
      <c r="G69" s="178">
        <f>IF(ISBLANK(F69),"-",(F69/$D$50*$D$47*$B$68)*($B$57/$D$68))</f>
        <v>797.53391371125122</v>
      </c>
      <c r="H69" s="179">
        <f t="shared" si="0"/>
        <v>99.691739213906402</v>
      </c>
    </row>
    <row r="70" spans="1:8" ht="26.25" customHeight="1" x14ac:dyDescent="0.4">
      <c r="A70" s="501" t="s">
        <v>78</v>
      </c>
      <c r="B70" s="502"/>
      <c r="C70" s="495"/>
      <c r="D70" s="498"/>
      <c r="E70" s="177">
        <v>3</v>
      </c>
      <c r="F70" s="132">
        <v>38044603</v>
      </c>
      <c r="G70" s="178">
        <f>IF(ISBLANK(F70),"-",(F70/$D$50*$D$47*$B$68)*($B$57/$D$68))</f>
        <v>786.25968570097768</v>
      </c>
      <c r="H70" s="179">
        <f t="shared" si="0"/>
        <v>98.282460712622211</v>
      </c>
    </row>
    <row r="71" spans="1:8" ht="27" customHeight="1" thickBot="1" x14ac:dyDescent="0.45">
      <c r="A71" s="503"/>
      <c r="B71" s="504"/>
      <c r="C71" s="500"/>
      <c r="D71" s="499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793.78965177285136</v>
      </c>
      <c r="H72" s="189">
        <f>AVERAGE(H60:H71)</f>
        <v>99.22370647160642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6.2945156576969408E-3</v>
      </c>
      <c r="H73" s="191">
        <f>STDEV(H60:H71)/H72</f>
        <v>6.2945156576969695E-3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485" t="str">
        <f>B26</f>
        <v>Sulfamethoxazole</v>
      </c>
      <c r="D76" s="485"/>
      <c r="E76" s="93" t="s">
        <v>108</v>
      </c>
      <c r="F76" s="93"/>
      <c r="G76" s="194">
        <f>H72</f>
        <v>99.22370647160642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506" t="str">
        <f>B26</f>
        <v>Sulfamethoxazole</v>
      </c>
      <c r="C79" s="506"/>
    </row>
    <row r="80" spans="1:8" ht="26.25" customHeight="1" x14ac:dyDescent="0.4">
      <c r="A80" s="104" t="s">
        <v>48</v>
      </c>
      <c r="B80" s="506" t="str">
        <f>B27</f>
        <v>S12-6</v>
      </c>
      <c r="C80" s="506"/>
    </row>
    <row r="81" spans="1:12" ht="27" customHeight="1" thickBot="1" x14ac:dyDescent="0.45">
      <c r="A81" s="104" t="s">
        <v>6</v>
      </c>
      <c r="B81" s="105">
        <f>B28</f>
        <v>99.02</v>
      </c>
    </row>
    <row r="82" spans="1:12" s="60" customFormat="1" ht="27" customHeight="1" thickBot="1" x14ac:dyDescent="0.45">
      <c r="A82" s="104" t="s">
        <v>49</v>
      </c>
      <c r="B82" s="106">
        <v>0</v>
      </c>
      <c r="C82" s="482" t="s">
        <v>50</v>
      </c>
      <c r="D82" s="483"/>
      <c r="E82" s="483"/>
      <c r="F82" s="483"/>
      <c r="G82" s="484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99.02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468" t="s">
        <v>111</v>
      </c>
      <c r="D84" s="469"/>
      <c r="E84" s="469"/>
      <c r="F84" s="469"/>
      <c r="G84" s="469"/>
      <c r="H84" s="470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468" t="s">
        <v>112</v>
      </c>
      <c r="D85" s="469"/>
      <c r="E85" s="469"/>
      <c r="F85" s="469"/>
      <c r="G85" s="469"/>
      <c r="H85" s="470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100</v>
      </c>
      <c r="D89" s="195" t="s">
        <v>59</v>
      </c>
      <c r="E89" s="196"/>
      <c r="F89" s="486" t="s">
        <v>60</v>
      </c>
      <c r="G89" s="488"/>
    </row>
    <row r="90" spans="1:12" ht="27" customHeight="1" thickBot="1" x14ac:dyDescent="0.45">
      <c r="A90" s="119" t="s">
        <v>61</v>
      </c>
      <c r="B90" s="120">
        <v>1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1</v>
      </c>
      <c r="C91" s="199">
        <v>1</v>
      </c>
      <c r="D91" s="127">
        <v>36417509</v>
      </c>
      <c r="E91" s="128">
        <f>IF(ISBLANK(D91),"-",$D$101/$D$98*D91)</f>
        <v>40014070.709490485</v>
      </c>
      <c r="F91" s="127">
        <v>39420372</v>
      </c>
      <c r="G91" s="129">
        <f>IF(ISBLANK(F91),"-",$D$101/$F$98*F91)</f>
        <v>39671664.222685769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32">
        <v>36505778</v>
      </c>
      <c r="E92" s="133">
        <f>IF(ISBLANK(D92),"-",$D$101/$D$98*D92)</f>
        <v>40111057.079630628</v>
      </c>
      <c r="F92" s="132">
        <v>39692350</v>
      </c>
      <c r="G92" s="134">
        <f>IF(ISBLANK(F92),"-",$D$101/$F$98*F92)</f>
        <v>39945375.99516619</v>
      </c>
      <c r="I92" s="489">
        <f>ABS((F96/D96*D95)-F95)/D95</f>
        <v>1.1035221657603674E-2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32">
        <v>36372206</v>
      </c>
      <c r="E93" s="133">
        <f>IF(ISBLANK(D93),"-",$D$101/$D$98*D93)</f>
        <v>39964293.624370463</v>
      </c>
      <c r="F93" s="132">
        <v>39009917</v>
      </c>
      <c r="G93" s="134">
        <f>IF(ISBLANK(F93),"-",$D$101/$F$98*F93)</f>
        <v>39258592.703763455</v>
      </c>
      <c r="I93" s="489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202">
        <f>AVERAGE(D91:D94)</f>
        <v>36431831</v>
      </c>
      <c r="E95" s="142">
        <f>AVERAGE(E91:E94)</f>
        <v>40029807.137830526</v>
      </c>
      <c r="F95" s="203">
        <f>AVERAGE(F91:F94)</f>
        <v>39374213</v>
      </c>
      <c r="G95" s="204">
        <f>AVERAGE(G91:G94)</f>
        <v>39625210.973871805</v>
      </c>
    </row>
    <row r="96" spans="1:12" ht="26.25" customHeight="1" x14ac:dyDescent="0.4">
      <c r="A96" s="119" t="s">
        <v>72</v>
      </c>
      <c r="B96" s="105">
        <v>1</v>
      </c>
      <c r="C96" s="205" t="s">
        <v>113</v>
      </c>
      <c r="D96" s="206">
        <v>16.34</v>
      </c>
      <c r="E96" s="93"/>
      <c r="F96" s="145">
        <v>17.84</v>
      </c>
    </row>
    <row r="97" spans="1:10" ht="26.25" customHeight="1" x14ac:dyDescent="0.4">
      <c r="A97" s="119" t="s">
        <v>74</v>
      </c>
      <c r="B97" s="105">
        <v>1</v>
      </c>
      <c r="C97" s="207" t="s">
        <v>114</v>
      </c>
      <c r="D97" s="208">
        <f>D96*$B$87</f>
        <v>16.34</v>
      </c>
      <c r="E97" s="148"/>
      <c r="F97" s="147">
        <f>F96*$B$87</f>
        <v>17.84</v>
      </c>
    </row>
    <row r="98" spans="1:10" ht="19.5" customHeight="1" thickBot="1" x14ac:dyDescent="0.35">
      <c r="A98" s="119" t="s">
        <v>76</v>
      </c>
      <c r="B98" s="148">
        <f>(B97/B96)*(B95/B94)*(B93/B92)*(B91/B90)*B89</f>
        <v>100</v>
      </c>
      <c r="C98" s="207" t="s">
        <v>115</v>
      </c>
      <c r="D98" s="209">
        <f>D97*$B$83/100</f>
        <v>16.179867999999999</v>
      </c>
      <c r="E98" s="150"/>
      <c r="F98" s="149">
        <f>F97*$B$83/100</f>
        <v>17.665167999999998</v>
      </c>
    </row>
    <row r="99" spans="1:10" ht="19.5" customHeight="1" thickBot="1" x14ac:dyDescent="0.35">
      <c r="A99" s="490" t="s">
        <v>78</v>
      </c>
      <c r="B99" s="507"/>
      <c r="C99" s="207" t="s">
        <v>116</v>
      </c>
      <c r="D99" s="210">
        <f>D98/$B$98</f>
        <v>0.16179868</v>
      </c>
      <c r="E99" s="150"/>
      <c r="F99" s="153">
        <f>F98/$B$98</f>
        <v>0.17665167999999998</v>
      </c>
      <c r="H99" s="84"/>
    </row>
    <row r="100" spans="1:10" ht="19.5" customHeight="1" thickBot="1" x14ac:dyDescent="0.35">
      <c r="A100" s="492"/>
      <c r="B100" s="508"/>
      <c r="C100" s="207" t="s">
        <v>80</v>
      </c>
      <c r="D100" s="211">
        <f>$B$56/$B$116</f>
        <v>0.17777777777777778</v>
      </c>
      <c r="F100" s="158"/>
      <c r="G100" s="212"/>
      <c r="H100" s="84"/>
    </row>
    <row r="101" spans="1:10" ht="18.75" x14ac:dyDescent="0.3">
      <c r="C101" s="207" t="s">
        <v>81</v>
      </c>
      <c r="D101" s="208">
        <f>D100*$B$98</f>
        <v>17.777777777777779</v>
      </c>
      <c r="F101" s="158"/>
      <c r="H101" s="84"/>
    </row>
    <row r="102" spans="1:10" ht="19.5" customHeight="1" thickBot="1" x14ac:dyDescent="0.35">
      <c r="C102" s="213" t="s">
        <v>82</v>
      </c>
      <c r="D102" s="214">
        <f>D101/B34</f>
        <v>17.777777777777779</v>
      </c>
      <c r="F102" s="162"/>
      <c r="H102" s="84"/>
      <c r="J102" s="215"/>
    </row>
    <row r="103" spans="1:10" ht="18.75" x14ac:dyDescent="0.3">
      <c r="C103" s="216" t="s">
        <v>117</v>
      </c>
      <c r="D103" s="217">
        <f>AVERAGE(E91:E94,G91:G94)</f>
        <v>39827509.055851169</v>
      </c>
      <c r="F103" s="162"/>
      <c r="G103" s="212"/>
      <c r="H103" s="84"/>
      <c r="J103" s="218"/>
    </row>
    <row r="104" spans="1:10" ht="18.75" x14ac:dyDescent="0.3">
      <c r="C104" s="190" t="s">
        <v>84</v>
      </c>
      <c r="D104" s="219">
        <f>STDEV(E91:E94,G91:G94)/D103</f>
        <v>7.9062026518410752E-3</v>
      </c>
      <c r="F104" s="162"/>
      <c r="H104" s="84"/>
      <c r="J104" s="218"/>
    </row>
    <row r="105" spans="1:10" ht="19.5" customHeight="1" thickBot="1" x14ac:dyDescent="0.35">
      <c r="C105" s="192" t="s">
        <v>20</v>
      </c>
      <c r="D105" s="220">
        <f>COUNT(E91:E94,G91:G94)</f>
        <v>6</v>
      </c>
      <c r="F105" s="162"/>
      <c r="H105" s="84"/>
      <c r="J105" s="218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21" t="s">
        <v>121</v>
      </c>
    </row>
    <row r="108" spans="1:10" ht="26.25" customHeight="1" x14ac:dyDescent="0.4">
      <c r="A108" s="119" t="s">
        <v>122</v>
      </c>
      <c r="B108" s="120">
        <v>10</v>
      </c>
      <c r="C108" s="173">
        <v>1</v>
      </c>
      <c r="D108" s="222">
        <v>34032665</v>
      </c>
      <c r="E108" s="223">
        <f t="shared" ref="E108:E113" si="1">IF(ISBLANK(D108),"-",D108/$D$103*$D$100*$B$116)</f>
        <v>683.60117530373486</v>
      </c>
      <c r="F108" s="224">
        <f t="shared" ref="F108:F113" si="2">IF(ISBLANK(D108), "-", (E108/$B$56)*100)</f>
        <v>85.450146912966858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225">
        <v>34015370</v>
      </c>
      <c r="E109" s="226">
        <f t="shared" si="1"/>
        <v>683.25377722818371</v>
      </c>
      <c r="F109" s="227">
        <f t="shared" si="2"/>
        <v>85.406722153522963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225">
        <v>33873748</v>
      </c>
      <c r="E110" s="226">
        <f t="shared" si="1"/>
        <v>680.40907007260637</v>
      </c>
      <c r="F110" s="227">
        <f t="shared" si="2"/>
        <v>85.051133759075796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225">
        <v>34111312</v>
      </c>
      <c r="E111" s="226">
        <f t="shared" si="1"/>
        <v>685.18092762798301</v>
      </c>
      <c r="F111" s="227">
        <f t="shared" si="2"/>
        <v>85.647615953497876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225">
        <v>34221415</v>
      </c>
      <c r="E112" s="226">
        <f t="shared" si="1"/>
        <v>687.39252463939749</v>
      </c>
      <c r="F112" s="227">
        <f t="shared" si="2"/>
        <v>85.924065579924687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228">
        <v>34171865</v>
      </c>
      <c r="E113" s="229">
        <f t="shared" si="1"/>
        <v>686.39723266810176</v>
      </c>
      <c r="F113" s="230">
        <f t="shared" si="2"/>
        <v>85.799654083512721</v>
      </c>
    </row>
    <row r="114" spans="1:10" ht="27" customHeight="1" thickBot="1" x14ac:dyDescent="0.45">
      <c r="A114" s="119" t="s">
        <v>101</v>
      </c>
      <c r="B114" s="120">
        <v>1</v>
      </c>
      <c r="C114" s="231"/>
      <c r="D114" s="148"/>
      <c r="E114" s="93"/>
      <c r="F114" s="227"/>
    </row>
    <row r="115" spans="1:10" ht="26.25" customHeight="1" x14ac:dyDescent="0.4">
      <c r="A115" s="119" t="s">
        <v>102</v>
      </c>
      <c r="B115" s="120">
        <v>1</v>
      </c>
      <c r="C115" s="231"/>
      <c r="D115" s="232" t="s">
        <v>71</v>
      </c>
      <c r="E115" s="233">
        <f>AVERAGE(E108:E113)</f>
        <v>684.37245125666777</v>
      </c>
      <c r="F115" s="234">
        <f>AVERAGE(F108:F113)</f>
        <v>85.546556407083472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4500</v>
      </c>
      <c r="C116" s="235"/>
      <c r="D116" s="236" t="s">
        <v>84</v>
      </c>
      <c r="E116" s="191">
        <f>STDEV(E108:E113)/E115</f>
        <v>3.6634233414476391E-3</v>
      </c>
      <c r="F116" s="237">
        <f>STDEV(F108:F113)/F115</f>
        <v>3.6634233414476391E-3</v>
      </c>
      <c r="I116" s="93"/>
    </row>
    <row r="117" spans="1:10" ht="27" customHeight="1" thickBot="1" x14ac:dyDescent="0.45">
      <c r="A117" s="490" t="s">
        <v>78</v>
      </c>
      <c r="B117" s="491"/>
      <c r="C117" s="238"/>
      <c r="D117" s="192" t="s">
        <v>20</v>
      </c>
      <c r="E117" s="239">
        <f>COUNT(E108:E113)</f>
        <v>6</v>
      </c>
      <c r="F117" s="240">
        <f>COUNT(F108:F113)</f>
        <v>6</v>
      </c>
      <c r="I117" s="93"/>
      <c r="J117" s="218"/>
    </row>
    <row r="118" spans="1:10" ht="26.25" customHeight="1" thickBot="1" x14ac:dyDescent="0.35">
      <c r="A118" s="492"/>
      <c r="B118" s="493"/>
      <c r="C118" s="93"/>
      <c r="D118" s="241"/>
      <c r="E118" s="509" t="s">
        <v>123</v>
      </c>
      <c r="F118" s="510"/>
      <c r="G118" s="93"/>
      <c r="H118" s="93"/>
      <c r="I118" s="93"/>
    </row>
    <row r="119" spans="1:10" ht="25.5" customHeight="1" x14ac:dyDescent="0.4">
      <c r="A119" s="242"/>
      <c r="B119" s="115"/>
      <c r="C119" s="93"/>
      <c r="D119" s="236" t="s">
        <v>124</v>
      </c>
      <c r="E119" s="243">
        <f>MIN(E108:E113)</f>
        <v>680.40907007260637</v>
      </c>
      <c r="F119" s="244">
        <f>MIN(F108:F113)</f>
        <v>85.051133759075796</v>
      </c>
      <c r="G119" s="93"/>
      <c r="H119" s="93"/>
      <c r="I119" s="93"/>
    </row>
    <row r="120" spans="1:10" ht="24" customHeight="1" thickBot="1" x14ac:dyDescent="0.45">
      <c r="A120" s="242"/>
      <c r="B120" s="115"/>
      <c r="C120" s="93"/>
      <c r="D120" s="159" t="s">
        <v>125</v>
      </c>
      <c r="E120" s="245">
        <f>MAX(E108:E113)</f>
        <v>687.39252463939749</v>
      </c>
      <c r="F120" s="246">
        <f>MAX(F108:F113)</f>
        <v>85.924065579924687</v>
      </c>
      <c r="G120" s="93"/>
      <c r="H120" s="93"/>
      <c r="I120" s="93"/>
    </row>
    <row r="121" spans="1:10" ht="27" customHeight="1" x14ac:dyDescent="0.3">
      <c r="A121" s="242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42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42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485" t="str">
        <f>B26</f>
        <v>Sulfamethoxazole</v>
      </c>
      <c r="D124" s="485"/>
      <c r="E124" s="93" t="s">
        <v>127</v>
      </c>
      <c r="F124" s="93"/>
      <c r="G124" s="247">
        <f>F115</f>
        <v>85.546556407083472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7">
        <f>MIN(F108:F113)</f>
        <v>85.051133759075796</v>
      </c>
      <c r="E125" s="104" t="s">
        <v>130</v>
      </c>
      <c r="F125" s="247">
        <f>MAX(F108:F113)</f>
        <v>85.924065579924687</v>
      </c>
      <c r="G125" s="248"/>
      <c r="H125" s="93"/>
      <c r="I125" s="93"/>
    </row>
    <row r="126" spans="1:10" ht="19.5" customHeight="1" thickBot="1" x14ac:dyDescent="0.35">
      <c r="A126" s="249"/>
      <c r="B126" s="249"/>
      <c r="C126" s="250"/>
      <c r="D126" s="250"/>
      <c r="E126" s="250"/>
      <c r="F126" s="250"/>
      <c r="G126" s="250"/>
      <c r="H126" s="250"/>
    </row>
    <row r="127" spans="1:10" ht="18.75" x14ac:dyDescent="0.3">
      <c r="B127" s="505" t="s">
        <v>26</v>
      </c>
      <c r="C127" s="505"/>
      <c r="E127" s="197" t="s">
        <v>27</v>
      </c>
      <c r="F127" s="251"/>
      <c r="G127" s="505" t="s">
        <v>28</v>
      </c>
      <c r="H127" s="505"/>
    </row>
    <row r="128" spans="1:10" ht="69.95" customHeight="1" x14ac:dyDescent="0.3">
      <c r="A128" s="103" t="s">
        <v>29</v>
      </c>
      <c r="B128" s="252"/>
      <c r="C128" s="252"/>
      <c r="E128" s="252"/>
      <c r="F128" s="93"/>
      <c r="G128" s="252"/>
      <c r="H128" s="252"/>
    </row>
    <row r="129" spans="1:9" ht="69.95" customHeight="1" x14ac:dyDescent="0.3">
      <c r="A129" s="103" t="s">
        <v>30</v>
      </c>
      <c r="B129" s="253"/>
      <c r="C129" s="253"/>
      <c r="E129" s="253"/>
      <c r="F129" s="93"/>
      <c r="G129" s="254"/>
      <c r="H129" s="254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4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55" customWidth="1"/>
    <col min="2" max="2" width="33.7109375" style="255" customWidth="1"/>
    <col min="3" max="3" width="42.28515625" style="255" customWidth="1"/>
    <col min="4" max="4" width="30.5703125" style="255" customWidth="1"/>
    <col min="5" max="5" width="39.85546875" style="255" customWidth="1"/>
    <col min="6" max="6" width="30.7109375" style="255" customWidth="1"/>
    <col min="7" max="7" width="39.85546875" style="255" customWidth="1"/>
    <col min="8" max="8" width="30" style="255" customWidth="1"/>
    <col min="9" max="9" width="30.28515625" style="255" hidden="1" customWidth="1"/>
    <col min="10" max="10" width="30.42578125" style="255" customWidth="1"/>
    <col min="11" max="11" width="21.28515625" style="255" customWidth="1"/>
    <col min="12" max="12" width="9.140625" style="255"/>
    <col min="13" max="16384" width="9.140625" style="257"/>
  </cols>
  <sheetData>
    <row r="1" spans="1:9" ht="18.75" customHeight="1" x14ac:dyDescent="0.25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thickBot="1" x14ac:dyDescent="0.35">
      <c r="A15" s="256"/>
    </row>
    <row r="16" spans="1:9" ht="19.5" customHeight="1" thickBot="1" x14ac:dyDescent="0.35">
      <c r="A16" s="516" t="s">
        <v>31</v>
      </c>
      <c r="B16" s="517"/>
      <c r="C16" s="517"/>
      <c r="D16" s="517"/>
      <c r="E16" s="517"/>
      <c r="F16" s="517"/>
      <c r="G16" s="517"/>
      <c r="H16" s="518"/>
    </row>
    <row r="17" spans="1:14" ht="20.25" customHeight="1" x14ac:dyDescent="0.25">
      <c r="A17" s="519" t="s">
        <v>47</v>
      </c>
      <c r="B17" s="519"/>
      <c r="C17" s="519"/>
      <c r="D17" s="519"/>
      <c r="E17" s="519"/>
      <c r="F17" s="519"/>
      <c r="G17" s="519"/>
      <c r="H17" s="519"/>
    </row>
    <row r="18" spans="1:14" ht="26.25" customHeight="1" x14ac:dyDescent="0.4">
      <c r="A18" s="258" t="s">
        <v>33</v>
      </c>
      <c r="B18" s="520" t="s">
        <v>5</v>
      </c>
      <c r="C18" s="520"/>
      <c r="D18" s="259"/>
      <c r="E18" s="260"/>
      <c r="F18" s="261"/>
      <c r="G18" s="261"/>
      <c r="H18" s="261"/>
    </row>
    <row r="19" spans="1:14" ht="26.25" customHeight="1" x14ac:dyDescent="0.4">
      <c r="A19" s="258" t="s">
        <v>34</v>
      </c>
      <c r="B19" s="262" t="s">
        <v>138</v>
      </c>
      <c r="C19" s="261">
        <v>1</v>
      </c>
      <c r="D19" s="261"/>
      <c r="E19" s="261"/>
      <c r="F19" s="261"/>
      <c r="G19" s="261"/>
      <c r="H19" s="261"/>
    </row>
    <row r="20" spans="1:14" ht="26.25" customHeight="1" x14ac:dyDescent="0.4">
      <c r="A20" s="258" t="s">
        <v>35</v>
      </c>
      <c r="B20" s="521" t="s">
        <v>9</v>
      </c>
      <c r="C20" s="521"/>
      <c r="D20" s="261"/>
      <c r="E20" s="261"/>
      <c r="F20" s="261"/>
      <c r="G20" s="261"/>
      <c r="H20" s="261"/>
    </row>
    <row r="21" spans="1:14" ht="26.25" customHeight="1" x14ac:dyDescent="0.4">
      <c r="A21" s="258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263"/>
    </row>
    <row r="22" spans="1:14" ht="26.25" customHeight="1" x14ac:dyDescent="0.4">
      <c r="A22" s="258" t="s">
        <v>37</v>
      </c>
      <c r="B22" s="264" t="s">
        <v>132</v>
      </c>
      <c r="C22" s="261"/>
      <c r="D22" s="261"/>
      <c r="E22" s="261"/>
      <c r="F22" s="261"/>
      <c r="G22" s="261"/>
      <c r="H22" s="261"/>
    </row>
    <row r="23" spans="1:14" ht="26.25" customHeight="1" x14ac:dyDescent="0.4">
      <c r="A23" s="258" t="s">
        <v>38</v>
      </c>
      <c r="B23" s="264">
        <v>42944</v>
      </c>
      <c r="C23" s="261"/>
      <c r="D23" s="261"/>
      <c r="E23" s="261"/>
      <c r="F23" s="261"/>
      <c r="G23" s="261"/>
      <c r="H23" s="261"/>
    </row>
    <row r="24" spans="1:14" ht="18.75" x14ac:dyDescent="0.3">
      <c r="A24" s="258"/>
      <c r="B24" s="265"/>
    </row>
    <row r="25" spans="1:14" ht="18.75" x14ac:dyDescent="0.3">
      <c r="A25" s="266" t="s">
        <v>1</v>
      </c>
      <c r="B25" s="265"/>
    </row>
    <row r="26" spans="1:14" ht="26.25" customHeight="1" x14ac:dyDescent="0.4">
      <c r="A26" s="267" t="s">
        <v>4</v>
      </c>
      <c r="B26" s="522" t="s">
        <v>136</v>
      </c>
      <c r="C26" s="520"/>
    </row>
    <row r="27" spans="1:14" ht="26.25" customHeight="1" x14ac:dyDescent="0.4">
      <c r="A27" s="268" t="s">
        <v>48</v>
      </c>
      <c r="B27" s="523" t="s">
        <v>137</v>
      </c>
      <c r="C27" s="524"/>
    </row>
    <row r="28" spans="1:14" ht="27" customHeight="1" thickBot="1" x14ac:dyDescent="0.45">
      <c r="A28" s="268" t="s">
        <v>6</v>
      </c>
      <c r="B28" s="269">
        <v>99.3</v>
      </c>
    </row>
    <row r="29" spans="1:14" s="271" customFormat="1" ht="27" customHeight="1" thickBot="1" x14ac:dyDescent="0.45">
      <c r="A29" s="268" t="s">
        <v>49</v>
      </c>
      <c r="B29" s="270">
        <v>0</v>
      </c>
      <c r="C29" s="525" t="s">
        <v>50</v>
      </c>
      <c r="D29" s="526"/>
      <c r="E29" s="526"/>
      <c r="F29" s="526"/>
      <c r="G29" s="527"/>
      <c r="I29" s="272"/>
      <c r="J29" s="272"/>
      <c r="K29" s="272"/>
      <c r="L29" s="272"/>
    </row>
    <row r="30" spans="1:14" s="271" customFormat="1" ht="19.5" customHeight="1" thickBot="1" x14ac:dyDescent="0.35">
      <c r="A30" s="268" t="s">
        <v>51</v>
      </c>
      <c r="B30" s="273">
        <f>B28-B29</f>
        <v>99.3</v>
      </c>
      <c r="C30" s="274"/>
      <c r="D30" s="274"/>
      <c r="E30" s="274"/>
      <c r="F30" s="274"/>
      <c r="G30" s="275"/>
      <c r="I30" s="272"/>
      <c r="J30" s="272"/>
      <c r="K30" s="272"/>
      <c r="L30" s="272"/>
    </row>
    <row r="31" spans="1:14" s="271" customFormat="1" ht="27" customHeight="1" thickBot="1" x14ac:dyDescent="0.45">
      <c r="A31" s="268" t="s">
        <v>52</v>
      </c>
      <c r="B31" s="276">
        <v>1</v>
      </c>
      <c r="C31" s="511" t="s">
        <v>53</v>
      </c>
      <c r="D31" s="512"/>
      <c r="E31" s="512"/>
      <c r="F31" s="512"/>
      <c r="G31" s="512"/>
      <c r="H31" s="513"/>
      <c r="I31" s="272"/>
      <c r="J31" s="272"/>
      <c r="K31" s="272"/>
      <c r="L31" s="272"/>
    </row>
    <row r="32" spans="1:14" s="271" customFormat="1" ht="27" customHeight="1" thickBot="1" x14ac:dyDescent="0.45">
      <c r="A32" s="268" t="s">
        <v>54</v>
      </c>
      <c r="B32" s="276">
        <v>1</v>
      </c>
      <c r="C32" s="511" t="s">
        <v>55</v>
      </c>
      <c r="D32" s="512"/>
      <c r="E32" s="512"/>
      <c r="F32" s="512"/>
      <c r="G32" s="512"/>
      <c r="H32" s="513"/>
      <c r="I32" s="272"/>
      <c r="J32" s="272"/>
      <c r="K32" s="272"/>
      <c r="L32" s="277"/>
      <c r="M32" s="277"/>
      <c r="N32" s="278"/>
    </row>
    <row r="33" spans="1:14" s="271" customFormat="1" ht="17.25" customHeight="1" x14ac:dyDescent="0.3">
      <c r="A33" s="268"/>
      <c r="B33" s="279"/>
      <c r="C33" s="280"/>
      <c r="D33" s="280"/>
      <c r="E33" s="280"/>
      <c r="F33" s="280"/>
      <c r="G33" s="280"/>
      <c r="H33" s="280"/>
      <c r="I33" s="272"/>
      <c r="J33" s="272"/>
      <c r="K33" s="272"/>
      <c r="L33" s="277"/>
      <c r="M33" s="277"/>
      <c r="N33" s="278"/>
    </row>
    <row r="34" spans="1:14" s="271" customFormat="1" ht="18.75" x14ac:dyDescent="0.3">
      <c r="A34" s="268" t="s">
        <v>56</v>
      </c>
      <c r="B34" s="281">
        <f>B31/B32</f>
        <v>1</v>
      </c>
      <c r="C34" s="256" t="s">
        <v>57</v>
      </c>
      <c r="D34" s="256"/>
      <c r="E34" s="256"/>
      <c r="F34" s="256"/>
      <c r="G34" s="256"/>
      <c r="I34" s="272"/>
      <c r="J34" s="272"/>
      <c r="K34" s="272"/>
      <c r="L34" s="277"/>
      <c r="M34" s="277"/>
      <c r="N34" s="278"/>
    </row>
    <row r="35" spans="1:14" s="271" customFormat="1" ht="19.5" customHeight="1" thickBot="1" x14ac:dyDescent="0.35">
      <c r="A35" s="268"/>
      <c r="B35" s="273"/>
      <c r="G35" s="256"/>
      <c r="I35" s="272"/>
      <c r="J35" s="272"/>
      <c r="K35" s="272"/>
      <c r="L35" s="277"/>
      <c r="M35" s="277"/>
      <c r="N35" s="278"/>
    </row>
    <row r="36" spans="1:14" s="271" customFormat="1" ht="27" customHeight="1" thickBot="1" x14ac:dyDescent="0.45">
      <c r="A36" s="282" t="s">
        <v>58</v>
      </c>
      <c r="B36" s="283">
        <v>25</v>
      </c>
      <c r="C36" s="256"/>
      <c r="D36" s="529" t="s">
        <v>59</v>
      </c>
      <c r="E36" s="530"/>
      <c r="F36" s="529" t="s">
        <v>60</v>
      </c>
      <c r="G36" s="531"/>
      <c r="J36" s="272"/>
      <c r="K36" s="272"/>
      <c r="L36" s="277"/>
      <c r="M36" s="277"/>
      <c r="N36" s="278"/>
    </row>
    <row r="37" spans="1:14" s="271" customFormat="1" ht="27" customHeight="1" thickBot="1" x14ac:dyDescent="0.45">
      <c r="A37" s="284" t="s">
        <v>61</v>
      </c>
      <c r="B37" s="285">
        <v>4</v>
      </c>
      <c r="C37" s="286" t="s">
        <v>62</v>
      </c>
      <c r="D37" s="287" t="s">
        <v>63</v>
      </c>
      <c r="E37" s="288" t="s">
        <v>64</v>
      </c>
      <c r="F37" s="287" t="s">
        <v>63</v>
      </c>
      <c r="G37" s="289" t="s">
        <v>64</v>
      </c>
      <c r="I37" s="290" t="s">
        <v>65</v>
      </c>
      <c r="J37" s="272"/>
      <c r="K37" s="272"/>
      <c r="L37" s="277"/>
      <c r="M37" s="277"/>
      <c r="N37" s="278"/>
    </row>
    <row r="38" spans="1:14" s="271" customFormat="1" ht="26.25" customHeight="1" x14ac:dyDescent="0.4">
      <c r="A38" s="284" t="s">
        <v>66</v>
      </c>
      <c r="B38" s="285">
        <v>100</v>
      </c>
      <c r="C38" s="291">
        <v>1</v>
      </c>
      <c r="D38" s="292">
        <v>2948176</v>
      </c>
      <c r="E38" s="293">
        <f>IF(ISBLANK(D38),"-",$D$48/$D$45*D38)</f>
        <v>2837036.5131169027</v>
      </c>
      <c r="F38" s="292">
        <v>2570750</v>
      </c>
      <c r="G38" s="294">
        <f>IF(ISBLANK(F38),"-",$D$48/$F$45*F38)</f>
        <v>2870146.4575755345</v>
      </c>
      <c r="I38" s="295"/>
      <c r="J38" s="272"/>
      <c r="K38" s="272"/>
      <c r="L38" s="277"/>
      <c r="M38" s="277"/>
      <c r="N38" s="278"/>
    </row>
    <row r="39" spans="1:14" s="271" customFormat="1" ht="26.25" customHeight="1" x14ac:dyDescent="0.4">
      <c r="A39" s="284" t="s">
        <v>67</v>
      </c>
      <c r="B39" s="285">
        <v>1</v>
      </c>
      <c r="C39" s="296">
        <v>2</v>
      </c>
      <c r="D39" s="297">
        <v>2947744</v>
      </c>
      <c r="E39" s="298">
        <f>IF(ISBLANK(D39),"-",$D$48/$D$45*D39)</f>
        <v>2836620.7985280631</v>
      </c>
      <c r="F39" s="297">
        <v>2590234</v>
      </c>
      <c r="G39" s="299">
        <f>IF(ISBLANK(F39),"-",$D$48/$F$45*F39)</f>
        <v>2891899.6166067128</v>
      </c>
      <c r="I39" s="532">
        <f>ABS((F43/D43*D42)-F42)/D42</f>
        <v>1.4924463503144872E-2</v>
      </c>
      <c r="J39" s="272"/>
      <c r="K39" s="272"/>
      <c r="L39" s="277"/>
      <c r="M39" s="277"/>
      <c r="N39" s="278"/>
    </row>
    <row r="40" spans="1:14" ht="26.25" customHeight="1" x14ac:dyDescent="0.4">
      <c r="A40" s="284" t="s">
        <v>68</v>
      </c>
      <c r="B40" s="285">
        <v>1</v>
      </c>
      <c r="C40" s="296">
        <v>3</v>
      </c>
      <c r="D40" s="297">
        <v>2926323</v>
      </c>
      <c r="E40" s="298">
        <f>IF(ISBLANK(D40),"-",$D$48/$D$45*D40)</f>
        <v>2816007.3211958152</v>
      </c>
      <c r="F40" s="297">
        <v>2574757</v>
      </c>
      <c r="G40" s="299">
        <f>IF(ISBLANK(F40),"-",$D$48/$F$45*F40)</f>
        <v>2874620.1235700906</v>
      </c>
      <c r="I40" s="532"/>
      <c r="L40" s="277"/>
      <c r="M40" s="277"/>
      <c r="N40" s="256"/>
    </row>
    <row r="41" spans="1:14" ht="27" customHeight="1" thickBot="1" x14ac:dyDescent="0.45">
      <c r="A41" s="284" t="s">
        <v>69</v>
      </c>
      <c r="B41" s="285">
        <v>1</v>
      </c>
      <c r="C41" s="300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I41" s="304"/>
      <c r="L41" s="277"/>
      <c r="M41" s="277"/>
      <c r="N41" s="256"/>
    </row>
    <row r="42" spans="1:14" ht="27" customHeight="1" thickBot="1" x14ac:dyDescent="0.45">
      <c r="A42" s="284" t="s">
        <v>70</v>
      </c>
      <c r="B42" s="285">
        <v>1</v>
      </c>
      <c r="C42" s="305" t="s">
        <v>71</v>
      </c>
      <c r="D42" s="306">
        <f>AVERAGE(D38:D41)</f>
        <v>2940747.6666666665</v>
      </c>
      <c r="E42" s="307">
        <f>AVERAGE(E38:E41)</f>
        <v>2829888.2109469268</v>
      </c>
      <c r="F42" s="306">
        <f>AVERAGE(F38:F41)</f>
        <v>2578580.3333333335</v>
      </c>
      <c r="G42" s="308">
        <f>AVERAGE(G38:G41)</f>
        <v>2878888.7325841128</v>
      </c>
      <c r="H42" s="309"/>
    </row>
    <row r="43" spans="1:14" ht="26.25" customHeight="1" x14ac:dyDescent="0.4">
      <c r="A43" s="284" t="s">
        <v>72</v>
      </c>
      <c r="B43" s="285">
        <v>1</v>
      </c>
      <c r="C43" s="310" t="s">
        <v>73</v>
      </c>
      <c r="D43" s="311">
        <v>20.93</v>
      </c>
      <c r="E43" s="256"/>
      <c r="F43" s="311">
        <v>18.04</v>
      </c>
      <c r="H43" s="309"/>
    </row>
    <row r="44" spans="1:14" ht="26.25" customHeight="1" x14ac:dyDescent="0.4">
      <c r="A44" s="284" t="s">
        <v>74</v>
      </c>
      <c r="B44" s="285">
        <v>1</v>
      </c>
      <c r="C44" s="312" t="s">
        <v>75</v>
      </c>
      <c r="D44" s="313">
        <f>D43*$B$34</f>
        <v>20.93</v>
      </c>
      <c r="E44" s="314"/>
      <c r="F44" s="313">
        <f>F43*$B$34</f>
        <v>18.04</v>
      </c>
      <c r="H44" s="309"/>
    </row>
    <row r="45" spans="1:14" ht="19.5" customHeight="1" thickBot="1" x14ac:dyDescent="0.35">
      <c r="A45" s="284" t="s">
        <v>76</v>
      </c>
      <c r="B45" s="296">
        <f>(B44/B43)*(B42/B41)*(B40/B39)*(B38/B37)*B36</f>
        <v>625</v>
      </c>
      <c r="C45" s="312" t="s">
        <v>77</v>
      </c>
      <c r="D45" s="315">
        <f>D44*$B$30/100</f>
        <v>20.783489999999997</v>
      </c>
      <c r="E45" s="316"/>
      <c r="F45" s="315">
        <f>F44*$B$30/100</f>
        <v>17.913719999999998</v>
      </c>
      <c r="H45" s="309"/>
    </row>
    <row r="46" spans="1:14" ht="19.5" customHeight="1" thickBot="1" x14ac:dyDescent="0.35">
      <c r="A46" s="533" t="s">
        <v>78</v>
      </c>
      <c r="B46" s="534"/>
      <c r="C46" s="312" t="s">
        <v>79</v>
      </c>
      <c r="D46" s="317">
        <f>D45/$B$45</f>
        <v>3.3253583999999996E-2</v>
      </c>
      <c r="E46" s="318"/>
      <c r="F46" s="319">
        <f>F45/$B$45</f>
        <v>2.8661951999999997E-2</v>
      </c>
      <c r="H46" s="309"/>
    </row>
    <row r="47" spans="1:14" ht="27" customHeight="1" thickBot="1" x14ac:dyDescent="0.45">
      <c r="A47" s="535"/>
      <c r="B47" s="536"/>
      <c r="C47" s="320" t="s">
        <v>80</v>
      </c>
      <c r="D47" s="321">
        <v>3.2000000000000001E-2</v>
      </c>
      <c r="E47" s="322"/>
      <c r="F47" s="318"/>
      <c r="H47" s="309"/>
    </row>
    <row r="48" spans="1:14" ht="18.75" x14ac:dyDescent="0.3">
      <c r="C48" s="323" t="s">
        <v>81</v>
      </c>
      <c r="D48" s="315">
        <f>D47*$B$45</f>
        <v>20</v>
      </c>
      <c r="F48" s="324"/>
      <c r="H48" s="309"/>
    </row>
    <row r="49" spans="1:12" ht="19.5" customHeight="1" thickBot="1" x14ac:dyDescent="0.35">
      <c r="C49" s="325" t="s">
        <v>82</v>
      </c>
      <c r="D49" s="326">
        <f>D48/B34</f>
        <v>20</v>
      </c>
      <c r="F49" s="324"/>
      <c r="H49" s="309"/>
    </row>
    <row r="50" spans="1:12" ht="18.75" x14ac:dyDescent="0.3">
      <c r="C50" s="282" t="s">
        <v>83</v>
      </c>
      <c r="D50" s="327">
        <f>AVERAGE(E38:E41,G38:G41)</f>
        <v>2854388.4717655201</v>
      </c>
      <c r="F50" s="328"/>
      <c r="H50" s="309"/>
    </row>
    <row r="51" spans="1:12" ht="18.75" x14ac:dyDescent="0.3">
      <c r="C51" s="284" t="s">
        <v>84</v>
      </c>
      <c r="D51" s="329">
        <f>STDEV(E38:E41,G38:G41)/D50</f>
        <v>1.009874066056656E-2</v>
      </c>
      <c r="F51" s="328"/>
      <c r="H51" s="309"/>
    </row>
    <row r="52" spans="1:12" ht="19.5" customHeight="1" thickBot="1" x14ac:dyDescent="0.35">
      <c r="C52" s="330" t="s">
        <v>20</v>
      </c>
      <c r="D52" s="331">
        <f>COUNT(E38:E41,G38:G41)</f>
        <v>6</v>
      </c>
      <c r="F52" s="328"/>
    </row>
    <row r="54" spans="1:12" ht="18.75" x14ac:dyDescent="0.3">
      <c r="A54" s="332" t="s">
        <v>1</v>
      </c>
      <c r="B54" s="333" t="s">
        <v>85</v>
      </c>
    </row>
    <row r="55" spans="1:12" ht="18.75" x14ac:dyDescent="0.3">
      <c r="A55" s="256" t="s">
        <v>86</v>
      </c>
      <c r="B55" s="334" t="str">
        <f>B21</f>
        <v>Each tablet contains: Sulphamethoxazole B.P. 800 mg and Trimethoprim B.P. 160 mg.</v>
      </c>
    </row>
    <row r="56" spans="1:12" ht="26.25" customHeight="1" x14ac:dyDescent="0.4">
      <c r="A56" s="334" t="s">
        <v>87</v>
      </c>
      <c r="B56" s="335">
        <v>160</v>
      </c>
      <c r="C56" s="256" t="str">
        <f>B20</f>
        <v>Sulfamethoxazole &amp; Trimethoprim</v>
      </c>
      <c r="H56" s="314"/>
    </row>
    <row r="57" spans="1:12" ht="18.75" x14ac:dyDescent="0.3">
      <c r="A57" s="334" t="s">
        <v>88</v>
      </c>
      <c r="B57" s="336">
        <f>[1]Uniformity!C46</f>
        <v>1053.2165</v>
      </c>
      <c r="H57" s="314"/>
    </row>
    <row r="58" spans="1:12" ht="19.5" customHeight="1" thickBot="1" x14ac:dyDescent="0.35">
      <c r="H58" s="314"/>
    </row>
    <row r="59" spans="1:12" s="271" customFormat="1" ht="27" customHeight="1" thickBot="1" x14ac:dyDescent="0.45">
      <c r="A59" s="282" t="s">
        <v>89</v>
      </c>
      <c r="B59" s="283">
        <v>100</v>
      </c>
      <c r="C59" s="256"/>
      <c r="D59" s="337" t="s">
        <v>90</v>
      </c>
      <c r="E59" s="338" t="s">
        <v>62</v>
      </c>
      <c r="F59" s="338" t="s">
        <v>63</v>
      </c>
      <c r="G59" s="338" t="s">
        <v>91</v>
      </c>
      <c r="H59" s="286" t="s">
        <v>92</v>
      </c>
      <c r="L59" s="272"/>
    </row>
    <row r="60" spans="1:12" s="271" customFormat="1" ht="26.25" customHeight="1" x14ac:dyDescent="0.4">
      <c r="A60" s="284" t="s">
        <v>93</v>
      </c>
      <c r="B60" s="285">
        <v>2</v>
      </c>
      <c r="C60" s="537" t="s">
        <v>94</v>
      </c>
      <c r="D60" s="540">
        <f>Sulfamethoxazole!D60</f>
        <v>1048.74</v>
      </c>
      <c r="E60" s="339">
        <v>1</v>
      </c>
      <c r="F60" s="340">
        <v>2808858</v>
      </c>
      <c r="G60" s="341">
        <f>IF(ISBLANK(F60),"-",(F60/$D$50*$D$47*$B$68)*($B$57/$D$60))</f>
        <v>158.11989226975055</v>
      </c>
      <c r="H60" s="342">
        <f t="shared" ref="H60:H71" si="0">IF(ISBLANK(F60),"-",(G60/$B$56)*100)</f>
        <v>98.824932668594087</v>
      </c>
      <c r="L60" s="272"/>
    </row>
    <row r="61" spans="1:12" s="271" customFormat="1" ht="26.25" customHeight="1" x14ac:dyDescent="0.4">
      <c r="A61" s="284" t="s">
        <v>95</v>
      </c>
      <c r="B61" s="285">
        <v>100</v>
      </c>
      <c r="C61" s="538"/>
      <c r="D61" s="541"/>
      <c r="E61" s="343">
        <v>2</v>
      </c>
      <c r="F61" s="297">
        <v>2818616</v>
      </c>
      <c r="G61" s="344">
        <f>IF(ISBLANK(F61),"-",(F61/$D$50*$D$47*$B$68)*($B$57/$D$60))</f>
        <v>158.66920231275316</v>
      </c>
      <c r="H61" s="345">
        <f t="shared" si="0"/>
        <v>99.16825144547073</v>
      </c>
      <c r="L61" s="272"/>
    </row>
    <row r="62" spans="1:12" s="271" customFormat="1" ht="26.25" customHeight="1" x14ac:dyDescent="0.4">
      <c r="A62" s="284" t="s">
        <v>96</v>
      </c>
      <c r="B62" s="285">
        <v>1</v>
      </c>
      <c r="C62" s="538"/>
      <c r="D62" s="541"/>
      <c r="E62" s="343">
        <v>3</v>
      </c>
      <c r="F62" s="346">
        <v>2824407</v>
      </c>
      <c r="G62" s="344">
        <f>IF(ISBLANK(F62),"-",(F62/$D$50*$D$47*$B$68)*($B$57/$D$60))</f>
        <v>158.99519682587345</v>
      </c>
      <c r="H62" s="345">
        <f t="shared" si="0"/>
        <v>99.371998016170906</v>
      </c>
      <c r="L62" s="272"/>
    </row>
    <row r="63" spans="1:12" ht="27" customHeight="1" thickBot="1" x14ac:dyDescent="0.45">
      <c r="A63" s="284" t="s">
        <v>97</v>
      </c>
      <c r="B63" s="285">
        <v>1</v>
      </c>
      <c r="C63" s="539"/>
      <c r="D63" s="542"/>
      <c r="E63" s="347">
        <v>4</v>
      </c>
      <c r="F63" s="348"/>
      <c r="G63" s="344" t="str">
        <f>IF(ISBLANK(F63),"-",(F63/$D$50*$D$47*$B$68)*($B$57/$D$60))</f>
        <v>-</v>
      </c>
      <c r="H63" s="345" t="str">
        <f t="shared" si="0"/>
        <v>-</v>
      </c>
    </row>
    <row r="64" spans="1:12" ht="26.25" customHeight="1" x14ac:dyDescent="0.4">
      <c r="A64" s="284" t="s">
        <v>98</v>
      </c>
      <c r="B64" s="285">
        <v>1</v>
      </c>
      <c r="C64" s="537" t="s">
        <v>99</v>
      </c>
      <c r="D64" s="540">
        <f>Sulfamethoxazole!D64</f>
        <v>1070.42</v>
      </c>
      <c r="E64" s="339">
        <v>1</v>
      </c>
      <c r="F64" s="340">
        <v>2861046</v>
      </c>
      <c r="G64" s="341">
        <f>IF(ISBLANK(F64),"-",(F64/$D$50*$D$47*$B$68)*($B$57/$D$64))</f>
        <v>157.79570705498043</v>
      </c>
      <c r="H64" s="342">
        <f t="shared" si="0"/>
        <v>98.622316909362766</v>
      </c>
    </row>
    <row r="65" spans="1:8" ht="26.25" customHeight="1" x14ac:dyDescent="0.4">
      <c r="A65" s="284" t="s">
        <v>100</v>
      </c>
      <c r="B65" s="285">
        <v>1</v>
      </c>
      <c r="C65" s="538"/>
      <c r="D65" s="541"/>
      <c r="E65" s="343">
        <v>2</v>
      </c>
      <c r="F65" s="297">
        <v>2871651</v>
      </c>
      <c r="G65" s="344">
        <f>IF(ISBLANK(F65),"-",(F65/$D$50*$D$47*$B$68)*($B$57/$D$64))</f>
        <v>158.3806062398653</v>
      </c>
      <c r="H65" s="345">
        <f t="shared" si="0"/>
        <v>98.987878899915813</v>
      </c>
    </row>
    <row r="66" spans="1:8" ht="26.25" customHeight="1" x14ac:dyDescent="0.4">
      <c r="A66" s="284" t="s">
        <v>101</v>
      </c>
      <c r="B66" s="285">
        <v>1</v>
      </c>
      <c r="C66" s="538"/>
      <c r="D66" s="541"/>
      <c r="E66" s="343">
        <v>3</v>
      </c>
      <c r="F66" s="297">
        <v>2902763</v>
      </c>
      <c r="G66" s="344">
        <f>IF(ISBLANK(F66),"-",(F66/$D$50*$D$47*$B$68)*($B$57/$D$64))</f>
        <v>160.09653112813848</v>
      </c>
      <c r="H66" s="345">
        <f t="shared" si="0"/>
        <v>100.06033195508654</v>
      </c>
    </row>
    <row r="67" spans="1:8" ht="27" customHeight="1" thickBot="1" x14ac:dyDescent="0.45">
      <c r="A67" s="284" t="s">
        <v>102</v>
      </c>
      <c r="B67" s="285">
        <v>1</v>
      </c>
      <c r="C67" s="539"/>
      <c r="D67" s="542"/>
      <c r="E67" s="347">
        <v>4</v>
      </c>
      <c r="F67" s="348"/>
      <c r="G67" s="349" t="str">
        <f>IF(ISBLANK(F67),"-",(F67/$D$50*$D$47*$B$68)*($B$57/$D$64))</f>
        <v>-</v>
      </c>
      <c r="H67" s="350" t="str">
        <f t="shared" si="0"/>
        <v>-</v>
      </c>
    </row>
    <row r="68" spans="1:8" ht="26.25" customHeight="1" x14ac:dyDescent="0.4">
      <c r="A68" s="284" t="s">
        <v>103</v>
      </c>
      <c r="B68" s="351">
        <f>(B67/B66)*(B65/B64)*(B63/B62)*(B61/B60)*B59</f>
        <v>5000</v>
      </c>
      <c r="C68" s="537" t="s">
        <v>104</v>
      </c>
      <c r="D68" s="540">
        <f>Sulfamethoxazole!D68</f>
        <v>1060.28</v>
      </c>
      <c r="E68" s="339">
        <v>1</v>
      </c>
      <c r="F68" s="340">
        <v>2828483</v>
      </c>
      <c r="G68" s="341">
        <f>IF(ISBLANK(F68),"-",(F68/$D$50*$D$47*$B$68)*($B$57/$D$68))</f>
        <v>157.49166039639672</v>
      </c>
      <c r="H68" s="345">
        <f t="shared" si="0"/>
        <v>98.432287747747949</v>
      </c>
    </row>
    <row r="69" spans="1:8" ht="27" customHeight="1" thickBot="1" x14ac:dyDescent="0.45">
      <c r="A69" s="330" t="s">
        <v>105</v>
      </c>
      <c r="B69" s="352">
        <f>(D47*B68)/B56*B57</f>
        <v>1053.2165</v>
      </c>
      <c r="C69" s="538"/>
      <c r="D69" s="541"/>
      <c r="E69" s="343">
        <v>2</v>
      </c>
      <c r="F69" s="297">
        <v>2862340</v>
      </c>
      <c r="G69" s="344">
        <f>IF(ISBLANK(F69),"-",(F69/$D$50*$D$47*$B$68)*($B$57/$D$68))</f>
        <v>159.37683882810052</v>
      </c>
      <c r="H69" s="345">
        <f t="shared" si="0"/>
        <v>99.610524267562823</v>
      </c>
    </row>
    <row r="70" spans="1:8" ht="26.25" customHeight="1" x14ac:dyDescent="0.4">
      <c r="A70" s="544" t="s">
        <v>78</v>
      </c>
      <c r="B70" s="545"/>
      <c r="C70" s="538"/>
      <c r="D70" s="541"/>
      <c r="E70" s="343">
        <v>3</v>
      </c>
      <c r="F70" s="297">
        <v>2835459</v>
      </c>
      <c r="G70" s="344">
        <f>IF(ISBLANK(F70),"-",(F70/$D$50*$D$47*$B$68)*($B$57/$D$68))</f>
        <v>157.88008833565792</v>
      </c>
      <c r="H70" s="345">
        <f t="shared" si="0"/>
        <v>98.675055209786194</v>
      </c>
    </row>
    <row r="71" spans="1:8" ht="27" customHeight="1" thickBot="1" x14ac:dyDescent="0.45">
      <c r="A71" s="546"/>
      <c r="B71" s="547"/>
      <c r="C71" s="543"/>
      <c r="D71" s="542"/>
      <c r="E71" s="347">
        <v>4</v>
      </c>
      <c r="F71" s="348"/>
      <c r="G71" s="349" t="str">
        <f>IF(ISBLANK(F71),"-",(F71/$D$50*$D$47*$B$68)*($B$57/$D$68))</f>
        <v>-</v>
      </c>
      <c r="H71" s="350" t="str">
        <f t="shared" si="0"/>
        <v>-</v>
      </c>
    </row>
    <row r="72" spans="1:8" ht="26.25" customHeight="1" x14ac:dyDescent="0.4">
      <c r="A72" s="314"/>
      <c r="B72" s="314"/>
      <c r="C72" s="314"/>
      <c r="D72" s="314"/>
      <c r="E72" s="314"/>
      <c r="F72" s="353" t="s">
        <v>71</v>
      </c>
      <c r="G72" s="354">
        <f>AVERAGE(G60:G71)</f>
        <v>158.53396926572407</v>
      </c>
      <c r="H72" s="355">
        <f>AVERAGE(H60:H71)</f>
        <v>99.083730791077542</v>
      </c>
    </row>
    <row r="73" spans="1:8" ht="26.25" customHeight="1" x14ac:dyDescent="0.4">
      <c r="C73" s="314"/>
      <c r="D73" s="314"/>
      <c r="E73" s="314"/>
      <c r="F73" s="356" t="s">
        <v>84</v>
      </c>
      <c r="G73" s="357">
        <f>STDEV(G60:G71)/G72</f>
        <v>5.2948994395512067E-3</v>
      </c>
      <c r="H73" s="357">
        <f>STDEV(H60:H71)/H72</f>
        <v>5.2948994395511963E-3</v>
      </c>
    </row>
    <row r="74" spans="1:8" ht="27" customHeight="1" thickBot="1" x14ac:dyDescent="0.45">
      <c r="A74" s="314"/>
      <c r="B74" s="314"/>
      <c r="C74" s="314"/>
      <c r="D74" s="314"/>
      <c r="E74" s="316"/>
      <c r="F74" s="358" t="s">
        <v>20</v>
      </c>
      <c r="G74" s="359">
        <f>COUNT(G60:G71)</f>
        <v>9</v>
      </c>
      <c r="H74" s="359">
        <f>COUNT(H60:H71)</f>
        <v>9</v>
      </c>
    </row>
    <row r="76" spans="1:8" ht="26.25" customHeight="1" x14ac:dyDescent="0.4">
      <c r="A76" s="267" t="s">
        <v>106</v>
      </c>
      <c r="B76" s="268" t="s">
        <v>107</v>
      </c>
      <c r="C76" s="528" t="str">
        <f>B26</f>
        <v>Trimethoprim</v>
      </c>
      <c r="D76" s="528"/>
      <c r="E76" s="256" t="s">
        <v>108</v>
      </c>
      <c r="F76" s="256"/>
      <c r="G76" s="360">
        <f>H72</f>
        <v>99.083730791077542</v>
      </c>
      <c r="H76" s="273"/>
    </row>
    <row r="77" spans="1:8" ht="18.75" x14ac:dyDescent="0.3">
      <c r="A77" s="266" t="s">
        <v>109</v>
      </c>
      <c r="B77" s="266" t="s">
        <v>110</v>
      </c>
    </row>
    <row r="78" spans="1:8" ht="18.75" x14ac:dyDescent="0.3">
      <c r="A78" s="266"/>
      <c r="B78" s="266"/>
    </row>
    <row r="79" spans="1:8" ht="26.25" customHeight="1" x14ac:dyDescent="0.4">
      <c r="A79" s="267" t="s">
        <v>4</v>
      </c>
      <c r="B79" s="549" t="str">
        <f>B26</f>
        <v>Trimethoprim</v>
      </c>
      <c r="C79" s="549"/>
    </row>
    <row r="80" spans="1:8" ht="26.25" customHeight="1" x14ac:dyDescent="0.4">
      <c r="A80" s="268" t="s">
        <v>48</v>
      </c>
      <c r="B80" s="549" t="str">
        <f>B27</f>
        <v>T7-4</v>
      </c>
      <c r="C80" s="549"/>
    </row>
    <row r="81" spans="1:12" ht="27" customHeight="1" thickBot="1" x14ac:dyDescent="0.45">
      <c r="A81" s="268" t="s">
        <v>6</v>
      </c>
      <c r="B81" s="269">
        <f>B28</f>
        <v>99.3</v>
      </c>
    </row>
    <row r="82" spans="1:12" s="271" customFormat="1" ht="27" customHeight="1" thickBot="1" x14ac:dyDescent="0.45">
      <c r="A82" s="268" t="s">
        <v>49</v>
      </c>
      <c r="B82" s="270">
        <v>0</v>
      </c>
      <c r="C82" s="525" t="s">
        <v>50</v>
      </c>
      <c r="D82" s="526"/>
      <c r="E82" s="526"/>
      <c r="F82" s="526"/>
      <c r="G82" s="527"/>
      <c r="I82" s="272"/>
      <c r="J82" s="272"/>
      <c r="K82" s="272"/>
      <c r="L82" s="272"/>
    </row>
    <row r="83" spans="1:12" s="271" customFormat="1" ht="19.5" customHeight="1" thickBot="1" x14ac:dyDescent="0.35">
      <c r="A83" s="268" t="s">
        <v>51</v>
      </c>
      <c r="B83" s="273">
        <f>B81-B82</f>
        <v>99.3</v>
      </c>
      <c r="C83" s="274"/>
      <c r="D83" s="274"/>
      <c r="E83" s="274"/>
      <c r="F83" s="274"/>
      <c r="G83" s="275"/>
      <c r="I83" s="272"/>
      <c r="J83" s="272"/>
      <c r="K83" s="272"/>
      <c r="L83" s="272"/>
    </row>
    <row r="84" spans="1:12" s="271" customFormat="1" ht="27" customHeight="1" thickBot="1" x14ac:dyDescent="0.45">
      <c r="A84" s="268" t="s">
        <v>52</v>
      </c>
      <c r="B84" s="276">
        <v>1</v>
      </c>
      <c r="C84" s="511" t="s">
        <v>111</v>
      </c>
      <c r="D84" s="512"/>
      <c r="E84" s="512"/>
      <c r="F84" s="512"/>
      <c r="G84" s="512"/>
      <c r="H84" s="513"/>
      <c r="I84" s="272"/>
      <c r="J84" s="272"/>
      <c r="K84" s="272"/>
      <c r="L84" s="272"/>
    </row>
    <row r="85" spans="1:12" s="271" customFormat="1" ht="27" customHeight="1" thickBot="1" x14ac:dyDescent="0.45">
      <c r="A85" s="268" t="s">
        <v>54</v>
      </c>
      <c r="B85" s="276">
        <v>1</v>
      </c>
      <c r="C85" s="511" t="s">
        <v>112</v>
      </c>
      <c r="D85" s="512"/>
      <c r="E85" s="512"/>
      <c r="F85" s="512"/>
      <c r="G85" s="512"/>
      <c r="H85" s="513"/>
      <c r="I85" s="272"/>
      <c r="J85" s="272"/>
      <c r="K85" s="272"/>
      <c r="L85" s="272"/>
    </row>
    <row r="86" spans="1:12" s="271" customFormat="1" ht="18.75" x14ac:dyDescent="0.3">
      <c r="A86" s="268"/>
      <c r="B86" s="279"/>
      <c r="C86" s="280"/>
      <c r="D86" s="280"/>
      <c r="E86" s="280"/>
      <c r="F86" s="280"/>
      <c r="G86" s="280"/>
      <c r="H86" s="280"/>
      <c r="I86" s="272"/>
      <c r="J86" s="272"/>
      <c r="K86" s="272"/>
      <c r="L86" s="272"/>
    </row>
    <row r="87" spans="1:12" s="271" customFormat="1" ht="18.75" x14ac:dyDescent="0.3">
      <c r="A87" s="268" t="s">
        <v>56</v>
      </c>
      <c r="B87" s="281">
        <f>B84/B85</f>
        <v>1</v>
      </c>
      <c r="C87" s="256" t="s">
        <v>57</v>
      </c>
      <c r="D87" s="256"/>
      <c r="E87" s="256"/>
      <c r="F87" s="256"/>
      <c r="G87" s="256"/>
      <c r="I87" s="272"/>
      <c r="J87" s="272"/>
      <c r="K87" s="272"/>
      <c r="L87" s="272"/>
    </row>
    <row r="88" spans="1:12" ht="19.5" customHeight="1" thickBot="1" x14ac:dyDescent="0.35">
      <c r="A88" s="266"/>
      <c r="B88" s="266"/>
    </row>
    <row r="89" spans="1:12" ht="27" customHeight="1" thickBot="1" x14ac:dyDescent="0.45">
      <c r="A89" s="282" t="s">
        <v>58</v>
      </c>
      <c r="B89" s="283">
        <v>25</v>
      </c>
      <c r="D89" s="361" t="s">
        <v>59</v>
      </c>
      <c r="E89" s="362"/>
      <c r="F89" s="529" t="s">
        <v>60</v>
      </c>
      <c r="G89" s="531"/>
    </row>
    <row r="90" spans="1:12" ht="27" customHeight="1" thickBot="1" x14ac:dyDescent="0.45">
      <c r="A90" s="284" t="s">
        <v>61</v>
      </c>
      <c r="B90" s="285">
        <v>4</v>
      </c>
      <c r="C90" s="363" t="s">
        <v>62</v>
      </c>
      <c r="D90" s="287" t="s">
        <v>63</v>
      </c>
      <c r="E90" s="288" t="s">
        <v>64</v>
      </c>
      <c r="F90" s="287" t="s">
        <v>63</v>
      </c>
      <c r="G90" s="364" t="s">
        <v>64</v>
      </c>
      <c r="I90" s="290" t="s">
        <v>65</v>
      </c>
    </row>
    <row r="91" spans="1:12" ht="26.25" customHeight="1" x14ac:dyDescent="0.4">
      <c r="A91" s="284" t="s">
        <v>66</v>
      </c>
      <c r="B91" s="285">
        <v>100</v>
      </c>
      <c r="C91" s="365">
        <v>1</v>
      </c>
      <c r="D91" s="292">
        <v>2557982</v>
      </c>
      <c r="E91" s="293">
        <f>IF(ISBLANK(D91),"-",$D$101/$D$98*D91)</f>
        <v>2735057.7041894528</v>
      </c>
      <c r="F91" s="292">
        <v>2243046</v>
      </c>
      <c r="G91" s="294">
        <f>IF(ISBLANK(F91),"-",$D$101/$F$98*F91)</f>
        <v>2782530.1872903379</v>
      </c>
      <c r="I91" s="295"/>
    </row>
    <row r="92" spans="1:12" ht="26.25" customHeight="1" x14ac:dyDescent="0.4">
      <c r="A92" s="284" t="s">
        <v>67</v>
      </c>
      <c r="B92" s="285">
        <v>1</v>
      </c>
      <c r="C92" s="314">
        <v>2</v>
      </c>
      <c r="D92" s="297">
        <v>2564186</v>
      </c>
      <c r="E92" s="298">
        <f>IF(ISBLANK(D92),"-",$D$101/$D$98*D92)</f>
        <v>2741691.174634824</v>
      </c>
      <c r="F92" s="297">
        <v>2257133</v>
      </c>
      <c r="G92" s="299">
        <f>IF(ISBLANK(F92),"-",$D$101/$F$98*F92)</f>
        <v>2800005.3094003429</v>
      </c>
      <c r="I92" s="532">
        <f>ABS((F96/D96*D95)-F95)/D95</f>
        <v>1.3681834278676039E-2</v>
      </c>
    </row>
    <row r="93" spans="1:12" ht="26.25" customHeight="1" x14ac:dyDescent="0.4">
      <c r="A93" s="284" t="s">
        <v>68</v>
      </c>
      <c r="B93" s="285">
        <v>1</v>
      </c>
      <c r="C93" s="314">
        <v>3</v>
      </c>
      <c r="D93" s="297">
        <v>2551822</v>
      </c>
      <c r="E93" s="298">
        <f>IF(ISBLANK(D93),"-",$D$101/$D$98*D93)</f>
        <v>2728471.2796337651</v>
      </c>
      <c r="F93" s="297">
        <v>2219186</v>
      </c>
      <c r="G93" s="299">
        <f>IF(ISBLANK(F93),"-",$D$101/$F$98*F93)</f>
        <v>2752931.5208926145</v>
      </c>
      <c r="I93" s="532"/>
    </row>
    <row r="94" spans="1:12" ht="27" customHeight="1" thickBot="1" x14ac:dyDescent="0.45">
      <c r="A94" s="284" t="s">
        <v>69</v>
      </c>
      <c r="B94" s="285">
        <v>1</v>
      </c>
      <c r="C94" s="366">
        <v>4</v>
      </c>
      <c r="D94" s="301"/>
      <c r="E94" s="302" t="str">
        <f>IF(ISBLANK(D94),"-",$D$101/$D$98*D94)</f>
        <v>-</v>
      </c>
      <c r="F94" s="367"/>
      <c r="G94" s="303" t="str">
        <f>IF(ISBLANK(F94),"-",$D$101/$F$98*F94)</f>
        <v>-</v>
      </c>
      <c r="I94" s="304"/>
    </row>
    <row r="95" spans="1:12" ht="27" customHeight="1" thickBot="1" x14ac:dyDescent="0.45">
      <c r="A95" s="284" t="s">
        <v>70</v>
      </c>
      <c r="B95" s="285">
        <v>1</v>
      </c>
      <c r="C95" s="268" t="s">
        <v>71</v>
      </c>
      <c r="D95" s="368">
        <f>AVERAGE(D91:D94)</f>
        <v>2557996.6666666665</v>
      </c>
      <c r="E95" s="307">
        <f>AVERAGE(E91:E94)</f>
        <v>2735073.3861526805</v>
      </c>
      <c r="F95" s="369">
        <f>AVERAGE(F91:F94)</f>
        <v>2239788.3333333335</v>
      </c>
      <c r="G95" s="370">
        <f>AVERAGE(G91:G94)</f>
        <v>2778489.0058610984</v>
      </c>
    </row>
    <row r="96" spans="1:12" ht="26.25" customHeight="1" x14ac:dyDescent="0.4">
      <c r="A96" s="284" t="s">
        <v>72</v>
      </c>
      <c r="B96" s="269">
        <v>1</v>
      </c>
      <c r="C96" s="371" t="s">
        <v>113</v>
      </c>
      <c r="D96" s="372">
        <v>20.93</v>
      </c>
      <c r="E96" s="256"/>
      <c r="F96" s="311">
        <v>18.04</v>
      </c>
    </row>
    <row r="97" spans="1:10" ht="26.25" customHeight="1" x14ac:dyDescent="0.4">
      <c r="A97" s="284" t="s">
        <v>74</v>
      </c>
      <c r="B97" s="269">
        <v>1</v>
      </c>
      <c r="C97" s="373" t="s">
        <v>114</v>
      </c>
      <c r="D97" s="374">
        <f>D96*$B$87</f>
        <v>20.93</v>
      </c>
      <c r="E97" s="314"/>
      <c r="F97" s="313">
        <f>F96*$B$87</f>
        <v>18.04</v>
      </c>
    </row>
    <row r="98" spans="1:10" ht="19.5" customHeight="1" thickBot="1" x14ac:dyDescent="0.35">
      <c r="A98" s="284" t="s">
        <v>76</v>
      </c>
      <c r="B98" s="314">
        <f>(B97/B96)*(B95/B94)*(B93/B92)*(B91/B90)*B89</f>
        <v>625</v>
      </c>
      <c r="C98" s="373" t="s">
        <v>115</v>
      </c>
      <c r="D98" s="375">
        <f>D97*$B$83/100</f>
        <v>20.783489999999997</v>
      </c>
      <c r="E98" s="316"/>
      <c r="F98" s="315">
        <f>F97*$B$83/100</f>
        <v>17.913719999999998</v>
      </c>
    </row>
    <row r="99" spans="1:10" ht="19.5" customHeight="1" thickBot="1" x14ac:dyDescent="0.35">
      <c r="A99" s="533" t="s">
        <v>78</v>
      </c>
      <c r="B99" s="550"/>
      <c r="C99" s="373" t="s">
        <v>116</v>
      </c>
      <c r="D99" s="376">
        <f>D98/$B$98</f>
        <v>3.3253583999999996E-2</v>
      </c>
      <c r="E99" s="316"/>
      <c r="F99" s="319">
        <f>F98/$B$98</f>
        <v>2.8661951999999997E-2</v>
      </c>
      <c r="H99" s="309"/>
    </row>
    <row r="100" spans="1:10" ht="19.5" customHeight="1" thickBot="1" x14ac:dyDescent="0.35">
      <c r="A100" s="535"/>
      <c r="B100" s="551"/>
      <c r="C100" s="373" t="s">
        <v>80</v>
      </c>
      <c r="D100" s="377">
        <f>$B$56/$B$116</f>
        <v>3.5555555555555556E-2</v>
      </c>
      <c r="F100" s="324"/>
      <c r="G100" s="378"/>
      <c r="H100" s="309"/>
    </row>
    <row r="101" spans="1:10" ht="18.75" x14ac:dyDescent="0.3">
      <c r="C101" s="373" t="s">
        <v>81</v>
      </c>
      <c r="D101" s="374">
        <f>D100*$B$98</f>
        <v>22.222222222222221</v>
      </c>
      <c r="F101" s="324"/>
      <c r="H101" s="309"/>
    </row>
    <row r="102" spans="1:10" ht="19.5" customHeight="1" thickBot="1" x14ac:dyDescent="0.35">
      <c r="C102" s="379" t="s">
        <v>82</v>
      </c>
      <c r="D102" s="380">
        <f>D101/B34</f>
        <v>22.222222222222221</v>
      </c>
      <c r="F102" s="328"/>
      <c r="H102" s="309"/>
      <c r="J102" s="381"/>
    </row>
    <row r="103" spans="1:10" ht="18.75" x14ac:dyDescent="0.3">
      <c r="C103" s="382" t="s">
        <v>117</v>
      </c>
      <c r="D103" s="383">
        <f>AVERAGE(E91:E94,G91:G94)</f>
        <v>2756781.1960068895</v>
      </c>
      <c r="F103" s="328"/>
      <c r="G103" s="378"/>
      <c r="H103" s="309"/>
      <c r="J103" s="384"/>
    </row>
    <row r="104" spans="1:10" ht="18.75" x14ac:dyDescent="0.3">
      <c r="C104" s="356" t="s">
        <v>84</v>
      </c>
      <c r="D104" s="385">
        <f>STDEV(E91:E94,G91:G94)/D103</f>
        <v>1.0320277150798288E-2</v>
      </c>
      <c r="F104" s="328"/>
      <c r="H104" s="309"/>
      <c r="J104" s="384"/>
    </row>
    <row r="105" spans="1:10" ht="19.5" customHeight="1" thickBot="1" x14ac:dyDescent="0.35">
      <c r="C105" s="358" t="s">
        <v>20</v>
      </c>
      <c r="D105" s="386">
        <f>COUNT(E91:E94,G91:G94)</f>
        <v>6</v>
      </c>
      <c r="F105" s="328"/>
      <c r="H105" s="309"/>
      <c r="J105" s="384"/>
    </row>
    <row r="106" spans="1:10" ht="19.5" customHeight="1" thickBot="1" x14ac:dyDescent="0.35">
      <c r="A106" s="332"/>
      <c r="B106" s="332"/>
      <c r="C106" s="332"/>
      <c r="D106" s="332"/>
      <c r="E106" s="332"/>
    </row>
    <row r="107" spans="1:10" ht="27" customHeight="1" thickBot="1" x14ac:dyDescent="0.45">
      <c r="A107" s="282" t="s">
        <v>118</v>
      </c>
      <c r="B107" s="283">
        <v>900</v>
      </c>
      <c r="C107" s="338" t="s">
        <v>119</v>
      </c>
      <c r="D107" s="338" t="s">
        <v>63</v>
      </c>
      <c r="E107" s="338" t="s">
        <v>120</v>
      </c>
      <c r="F107" s="387" t="s">
        <v>121</v>
      </c>
    </row>
    <row r="108" spans="1:10" ht="26.25" customHeight="1" x14ac:dyDescent="0.4">
      <c r="A108" s="284" t="s">
        <v>122</v>
      </c>
      <c r="B108" s="285">
        <v>10</v>
      </c>
      <c r="C108" s="339">
        <v>1</v>
      </c>
      <c r="D108" s="388">
        <v>2360245</v>
      </c>
      <c r="E108" s="389">
        <f t="shared" ref="E108:E113" si="1">IF(ISBLANK(D108),"-",D108/$D$103*$D$100*$B$116)</f>
        <v>136.98555422062458</v>
      </c>
      <c r="F108" s="390">
        <f t="shared" ref="F108:F113" si="2">IF(ISBLANK(D108), "-", (E108/$B$56)*100)</f>
        <v>85.615971387890369</v>
      </c>
    </row>
    <row r="109" spans="1:10" ht="26.25" customHeight="1" x14ac:dyDescent="0.4">
      <c r="A109" s="284" t="s">
        <v>95</v>
      </c>
      <c r="B109" s="285">
        <v>50</v>
      </c>
      <c r="C109" s="343">
        <v>2</v>
      </c>
      <c r="D109" s="391">
        <v>2359660</v>
      </c>
      <c r="E109" s="392">
        <f t="shared" si="1"/>
        <v>136.95160158044564</v>
      </c>
      <c r="F109" s="393">
        <f t="shared" si="2"/>
        <v>85.594750987778525</v>
      </c>
    </row>
    <row r="110" spans="1:10" ht="26.25" customHeight="1" x14ac:dyDescent="0.4">
      <c r="A110" s="284" t="s">
        <v>96</v>
      </c>
      <c r="B110" s="285">
        <v>1</v>
      </c>
      <c r="C110" s="343">
        <v>3</v>
      </c>
      <c r="D110" s="391">
        <v>2351126</v>
      </c>
      <c r="E110" s="392">
        <f t="shared" si="1"/>
        <v>136.45629930474175</v>
      </c>
      <c r="F110" s="393">
        <f t="shared" si="2"/>
        <v>85.285187065463603</v>
      </c>
    </row>
    <row r="111" spans="1:10" ht="26.25" customHeight="1" x14ac:dyDescent="0.4">
      <c r="A111" s="284" t="s">
        <v>97</v>
      </c>
      <c r="B111" s="285">
        <v>1</v>
      </c>
      <c r="C111" s="343">
        <v>4</v>
      </c>
      <c r="D111" s="391">
        <v>2368227</v>
      </c>
      <c r="E111" s="392">
        <f t="shared" si="1"/>
        <v>137.44881913328788</v>
      </c>
      <c r="F111" s="393">
        <f t="shared" si="2"/>
        <v>85.905511958304928</v>
      </c>
    </row>
    <row r="112" spans="1:10" ht="26.25" customHeight="1" x14ac:dyDescent="0.4">
      <c r="A112" s="284" t="s">
        <v>98</v>
      </c>
      <c r="B112" s="285">
        <v>1</v>
      </c>
      <c r="C112" s="343">
        <v>5</v>
      </c>
      <c r="D112" s="391">
        <v>2374590</v>
      </c>
      <c r="E112" s="392">
        <f t="shared" si="1"/>
        <v>137.81811938877232</v>
      </c>
      <c r="F112" s="393">
        <f t="shared" si="2"/>
        <v>86.136324617982694</v>
      </c>
    </row>
    <row r="113" spans="1:10" ht="27" customHeight="1" thickBot="1" x14ac:dyDescent="0.45">
      <c r="A113" s="284" t="s">
        <v>100</v>
      </c>
      <c r="B113" s="285">
        <v>1</v>
      </c>
      <c r="C113" s="347">
        <v>6</v>
      </c>
      <c r="D113" s="394">
        <v>2373160</v>
      </c>
      <c r="E113" s="395">
        <f t="shared" si="1"/>
        <v>137.73512404611276</v>
      </c>
      <c r="F113" s="396">
        <f t="shared" si="2"/>
        <v>86.084452528820478</v>
      </c>
    </row>
    <row r="114" spans="1:10" ht="27" customHeight="1" thickBot="1" x14ac:dyDescent="0.45">
      <c r="A114" s="284" t="s">
        <v>101</v>
      </c>
      <c r="B114" s="285">
        <v>1</v>
      </c>
      <c r="C114" s="397"/>
      <c r="D114" s="314"/>
      <c r="E114" s="256"/>
      <c r="F114" s="393"/>
    </row>
    <row r="115" spans="1:10" ht="26.25" customHeight="1" x14ac:dyDescent="0.4">
      <c r="A115" s="284" t="s">
        <v>102</v>
      </c>
      <c r="B115" s="285">
        <v>1</v>
      </c>
      <c r="C115" s="397"/>
      <c r="D115" s="398" t="s">
        <v>71</v>
      </c>
      <c r="E115" s="399">
        <f>AVERAGE(E108:E113)</f>
        <v>137.2325862789975</v>
      </c>
      <c r="F115" s="400">
        <f>AVERAGE(F108:F113)</f>
        <v>85.770366424373435</v>
      </c>
    </row>
    <row r="116" spans="1:10" ht="27" customHeight="1" thickBot="1" x14ac:dyDescent="0.45">
      <c r="A116" s="284" t="s">
        <v>103</v>
      </c>
      <c r="B116" s="296">
        <f>(B115/B114)*(B113/B112)*(B111/B110)*(B109/B108)*B107</f>
        <v>4500</v>
      </c>
      <c r="C116" s="401"/>
      <c r="D116" s="402" t="s">
        <v>84</v>
      </c>
      <c r="E116" s="357">
        <f>STDEV(E108:E113)/E115</f>
        <v>3.8348043763806231E-3</v>
      </c>
      <c r="F116" s="403">
        <f>STDEV(F108:F113)/F115</f>
        <v>3.834804376380578E-3</v>
      </c>
      <c r="I116" s="256"/>
    </row>
    <row r="117" spans="1:10" ht="27" customHeight="1" thickBot="1" x14ac:dyDescent="0.45">
      <c r="A117" s="533" t="s">
        <v>78</v>
      </c>
      <c r="B117" s="534"/>
      <c r="C117" s="404"/>
      <c r="D117" s="358" t="s">
        <v>20</v>
      </c>
      <c r="E117" s="405">
        <f>COUNT(E108:E113)</f>
        <v>6</v>
      </c>
      <c r="F117" s="406">
        <f>COUNT(F108:F113)</f>
        <v>6</v>
      </c>
      <c r="I117" s="256"/>
      <c r="J117" s="384"/>
    </row>
    <row r="118" spans="1:10" ht="26.25" customHeight="1" thickBot="1" x14ac:dyDescent="0.35">
      <c r="A118" s="535"/>
      <c r="B118" s="536"/>
      <c r="C118" s="256"/>
      <c r="D118" s="407"/>
      <c r="E118" s="552" t="s">
        <v>123</v>
      </c>
      <c r="F118" s="553"/>
      <c r="G118" s="256"/>
      <c r="H118" s="256"/>
      <c r="I118" s="256"/>
    </row>
    <row r="119" spans="1:10" ht="25.5" customHeight="1" x14ac:dyDescent="0.4">
      <c r="A119" s="408"/>
      <c r="B119" s="280"/>
      <c r="C119" s="256"/>
      <c r="D119" s="402" t="s">
        <v>124</v>
      </c>
      <c r="E119" s="409">
        <f>MIN(E108:E113)</f>
        <v>136.45629930474175</v>
      </c>
      <c r="F119" s="410">
        <f>MIN(F108:F113)</f>
        <v>85.285187065463603</v>
      </c>
      <c r="G119" s="256"/>
      <c r="H119" s="256"/>
      <c r="I119" s="256"/>
    </row>
    <row r="120" spans="1:10" ht="24" customHeight="1" thickBot="1" x14ac:dyDescent="0.45">
      <c r="A120" s="408"/>
      <c r="B120" s="280"/>
      <c r="C120" s="256"/>
      <c r="D120" s="325" t="s">
        <v>125</v>
      </c>
      <c r="E120" s="411">
        <f>MAX(E108:E113)</f>
        <v>137.81811938877232</v>
      </c>
      <c r="F120" s="412">
        <f>MAX(F108:F113)</f>
        <v>86.136324617982694</v>
      </c>
      <c r="G120" s="256"/>
      <c r="H120" s="256"/>
      <c r="I120" s="256"/>
    </row>
    <row r="121" spans="1:10" ht="27" customHeight="1" x14ac:dyDescent="0.3">
      <c r="A121" s="408"/>
      <c r="B121" s="280"/>
      <c r="C121" s="256"/>
      <c r="D121" s="256"/>
      <c r="E121" s="256"/>
      <c r="F121" s="314"/>
      <c r="G121" s="256"/>
      <c r="H121" s="256"/>
      <c r="I121" s="256"/>
    </row>
    <row r="122" spans="1:10" ht="25.5" customHeight="1" x14ac:dyDescent="0.3">
      <c r="A122" s="408"/>
      <c r="B122" s="280"/>
      <c r="C122" s="256"/>
      <c r="D122" s="256"/>
      <c r="E122" s="256"/>
      <c r="F122" s="314"/>
      <c r="G122" s="256"/>
      <c r="H122" s="256"/>
      <c r="I122" s="256"/>
    </row>
    <row r="123" spans="1:10" ht="18.75" x14ac:dyDescent="0.3">
      <c r="A123" s="408"/>
      <c r="B123" s="280"/>
      <c r="C123" s="256"/>
      <c r="D123" s="256"/>
      <c r="E123" s="256"/>
      <c r="F123" s="314"/>
      <c r="G123" s="256"/>
      <c r="H123" s="256"/>
      <c r="I123" s="256"/>
    </row>
    <row r="124" spans="1:10" ht="45.75" customHeight="1" x14ac:dyDescent="0.65">
      <c r="A124" s="267" t="s">
        <v>106</v>
      </c>
      <c r="B124" s="268" t="s">
        <v>126</v>
      </c>
      <c r="C124" s="528" t="str">
        <f>B26</f>
        <v>Trimethoprim</v>
      </c>
      <c r="D124" s="528"/>
      <c r="E124" s="256" t="s">
        <v>127</v>
      </c>
      <c r="F124" s="256"/>
      <c r="G124" s="413">
        <f>F115</f>
        <v>85.770366424373435</v>
      </c>
      <c r="H124" s="256"/>
      <c r="I124" s="256"/>
    </row>
    <row r="125" spans="1:10" ht="45.75" customHeight="1" x14ac:dyDescent="0.65">
      <c r="A125" s="267"/>
      <c r="B125" s="268" t="s">
        <v>128</v>
      </c>
      <c r="C125" s="268" t="s">
        <v>129</v>
      </c>
      <c r="D125" s="413">
        <f>MIN(F108:F113)</f>
        <v>85.285187065463603</v>
      </c>
      <c r="E125" s="268" t="s">
        <v>130</v>
      </c>
      <c r="F125" s="413">
        <f>MAX(F108:F113)</f>
        <v>86.136324617982694</v>
      </c>
      <c r="G125" s="414"/>
      <c r="H125" s="256"/>
      <c r="I125" s="256"/>
    </row>
    <row r="126" spans="1:10" ht="19.5" customHeight="1" thickBot="1" x14ac:dyDescent="0.35">
      <c r="A126" s="415"/>
      <c r="B126" s="415"/>
      <c r="C126" s="416"/>
      <c r="D126" s="416"/>
      <c r="E126" s="416"/>
      <c r="F126" s="416"/>
      <c r="G126" s="416"/>
      <c r="H126" s="416"/>
    </row>
    <row r="127" spans="1:10" ht="18.75" x14ac:dyDescent="0.3">
      <c r="B127" s="548" t="s">
        <v>26</v>
      </c>
      <c r="C127" s="548"/>
      <c r="E127" s="363" t="s">
        <v>27</v>
      </c>
      <c r="F127" s="417"/>
      <c r="G127" s="548" t="s">
        <v>28</v>
      </c>
      <c r="H127" s="548"/>
    </row>
    <row r="128" spans="1:10" ht="69.95" customHeight="1" x14ac:dyDescent="0.3">
      <c r="A128" s="267" t="s">
        <v>29</v>
      </c>
      <c r="B128" s="418"/>
      <c r="C128" s="418"/>
      <c r="E128" s="418"/>
      <c r="F128" s="256"/>
      <c r="G128" s="418"/>
      <c r="H128" s="418"/>
    </row>
    <row r="129" spans="1:9" ht="69.95" customHeight="1" x14ac:dyDescent="0.3">
      <c r="A129" s="267" t="s">
        <v>30</v>
      </c>
      <c r="B129" s="419"/>
      <c r="C129" s="419"/>
      <c r="E129" s="419"/>
      <c r="F129" s="256"/>
      <c r="G129" s="420"/>
      <c r="H129" s="420"/>
    </row>
    <row r="130" spans="1:9" ht="18.75" x14ac:dyDescent="0.3">
      <c r="A130" s="314"/>
      <c r="B130" s="314"/>
      <c r="C130" s="314"/>
      <c r="D130" s="314"/>
      <c r="E130" s="314"/>
      <c r="F130" s="316"/>
      <c r="G130" s="314"/>
      <c r="H130" s="314"/>
      <c r="I130" s="256"/>
    </row>
    <row r="131" spans="1:9" ht="18.75" x14ac:dyDescent="0.3">
      <c r="A131" s="314"/>
      <c r="B131" s="314"/>
      <c r="C131" s="314"/>
      <c r="D131" s="314"/>
      <c r="E131" s="314"/>
      <c r="F131" s="316"/>
      <c r="G131" s="314"/>
      <c r="H131" s="314"/>
      <c r="I131" s="256"/>
    </row>
    <row r="132" spans="1:9" ht="18.75" x14ac:dyDescent="0.3">
      <c r="A132" s="314"/>
      <c r="B132" s="314"/>
      <c r="C132" s="314"/>
      <c r="D132" s="314"/>
      <c r="E132" s="314"/>
      <c r="F132" s="316"/>
      <c r="G132" s="314"/>
      <c r="H132" s="314"/>
      <c r="I132" s="256"/>
    </row>
    <row r="133" spans="1:9" ht="18.75" x14ac:dyDescent="0.3">
      <c r="A133" s="314"/>
      <c r="B133" s="314"/>
      <c r="C133" s="314"/>
      <c r="D133" s="314"/>
      <c r="E133" s="314"/>
      <c r="F133" s="316"/>
      <c r="G133" s="314"/>
      <c r="H133" s="314"/>
      <c r="I133" s="256"/>
    </row>
    <row r="134" spans="1:9" ht="18.75" x14ac:dyDescent="0.3">
      <c r="A134" s="314"/>
      <c r="B134" s="314"/>
      <c r="C134" s="314"/>
      <c r="D134" s="314"/>
      <c r="E134" s="314"/>
      <c r="F134" s="316"/>
      <c r="G134" s="314"/>
      <c r="H134" s="314"/>
      <c r="I134" s="256"/>
    </row>
    <row r="135" spans="1:9" ht="18.75" x14ac:dyDescent="0.3">
      <c r="A135" s="314"/>
      <c r="B135" s="314"/>
      <c r="C135" s="314"/>
      <c r="D135" s="314"/>
      <c r="E135" s="314"/>
      <c r="F135" s="316"/>
      <c r="G135" s="314"/>
      <c r="H135" s="314"/>
      <c r="I135" s="256"/>
    </row>
    <row r="136" spans="1:9" ht="18.75" x14ac:dyDescent="0.3">
      <c r="A136" s="314"/>
      <c r="B136" s="314"/>
      <c r="C136" s="314"/>
      <c r="D136" s="314"/>
      <c r="E136" s="314"/>
      <c r="F136" s="316"/>
      <c r="G136" s="314"/>
      <c r="H136" s="314"/>
      <c r="I136" s="256"/>
    </row>
    <row r="137" spans="1:9" ht="18.75" x14ac:dyDescent="0.3">
      <c r="A137" s="314"/>
      <c r="B137" s="314"/>
      <c r="C137" s="314"/>
      <c r="D137" s="314"/>
      <c r="E137" s="314"/>
      <c r="F137" s="316"/>
      <c r="G137" s="314"/>
      <c r="H137" s="314"/>
      <c r="I137" s="256"/>
    </row>
    <row r="138" spans="1:9" ht="18.75" x14ac:dyDescent="0.3">
      <c r="A138" s="314"/>
      <c r="B138" s="314"/>
      <c r="C138" s="314"/>
      <c r="D138" s="314"/>
      <c r="E138" s="314"/>
      <c r="F138" s="316"/>
      <c r="G138" s="314"/>
      <c r="H138" s="314"/>
      <c r="I138" s="256"/>
    </row>
    <row r="250" spans="1:1" x14ac:dyDescent="0.25">
      <c r="A250" s="25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D39" sqref="D39"/>
    </sheetView>
  </sheetViews>
  <sheetFormatPr defaultRowHeight="13.5" x14ac:dyDescent="0.25"/>
  <cols>
    <col min="1" max="1" width="27.5703125" style="422" customWidth="1"/>
    <col min="2" max="2" width="20.42578125" style="422" customWidth="1"/>
    <col min="3" max="3" width="31.85546875" style="422" customWidth="1"/>
    <col min="4" max="4" width="25.85546875" style="422" customWidth="1"/>
    <col min="5" max="5" width="25.7109375" style="422" customWidth="1"/>
    <col min="6" max="6" width="23.140625" style="422" customWidth="1"/>
    <col min="7" max="7" width="28.42578125" style="422" customWidth="1"/>
    <col min="8" max="8" width="21.5703125" style="422" customWidth="1"/>
    <col min="9" max="9" width="9.140625" style="422" customWidth="1"/>
    <col min="10" max="16384" width="9.140625" style="459"/>
  </cols>
  <sheetData>
    <row r="14" spans="1:6" ht="15" customHeight="1" x14ac:dyDescent="0.3">
      <c r="A14" s="421"/>
      <c r="C14" s="423"/>
      <c r="F14" s="423"/>
    </row>
    <row r="15" spans="1:6" ht="18.75" customHeight="1" x14ac:dyDescent="0.3">
      <c r="A15" s="554" t="s">
        <v>0</v>
      </c>
      <c r="B15" s="554"/>
      <c r="C15" s="554"/>
      <c r="D15" s="554"/>
      <c r="E15" s="554"/>
    </row>
    <row r="16" spans="1:6" ht="16.5" customHeight="1" x14ac:dyDescent="0.3">
      <c r="A16" s="424" t="s">
        <v>1</v>
      </c>
      <c r="B16" s="425" t="s">
        <v>2</v>
      </c>
    </row>
    <row r="17" spans="1:5" ht="16.5" customHeight="1" x14ac:dyDescent="0.3">
      <c r="A17" s="426" t="s">
        <v>3</v>
      </c>
      <c r="B17" s="426" t="s">
        <v>5</v>
      </c>
      <c r="D17" s="427"/>
      <c r="E17" s="428"/>
    </row>
    <row r="18" spans="1:5" ht="16.5" customHeight="1" x14ac:dyDescent="0.3">
      <c r="A18" s="429" t="s">
        <v>4</v>
      </c>
      <c r="B18" s="430" t="s">
        <v>136</v>
      </c>
      <c r="C18" s="428"/>
      <c r="D18" s="428"/>
      <c r="E18" s="428"/>
    </row>
    <row r="19" spans="1:5" ht="16.5" customHeight="1" x14ac:dyDescent="0.3">
      <c r="A19" s="429" t="s">
        <v>6</v>
      </c>
      <c r="B19" s="431">
        <v>99.3</v>
      </c>
      <c r="C19" s="428"/>
      <c r="D19" s="428"/>
      <c r="E19" s="428"/>
    </row>
    <row r="20" spans="1:5" ht="16.5" customHeight="1" x14ac:dyDescent="0.3">
      <c r="A20" s="426" t="s">
        <v>8</v>
      </c>
      <c r="B20" s="431">
        <v>20.93</v>
      </c>
      <c r="C20" s="428"/>
      <c r="D20" s="428"/>
      <c r="E20" s="428"/>
    </row>
    <row r="21" spans="1:5" ht="16.5" customHeight="1" x14ac:dyDescent="0.3">
      <c r="A21" s="426" t="s">
        <v>10</v>
      </c>
      <c r="B21" s="432">
        <f>B20/25*4/100</f>
        <v>3.3487999999999997E-2</v>
      </c>
      <c r="C21" s="428"/>
      <c r="D21" s="428"/>
      <c r="E21" s="428"/>
    </row>
    <row r="22" spans="1:5" ht="15.75" customHeight="1" x14ac:dyDescent="0.25">
      <c r="A22" s="428"/>
      <c r="B22" s="428" t="s">
        <v>132</v>
      </c>
      <c r="C22" s="428"/>
      <c r="D22" s="428"/>
      <c r="E22" s="428"/>
    </row>
    <row r="23" spans="1:5" ht="16.5" customHeight="1" x14ac:dyDescent="0.3">
      <c r="A23" s="433" t="s">
        <v>13</v>
      </c>
      <c r="B23" s="434" t="s">
        <v>14</v>
      </c>
      <c r="C23" s="433" t="s">
        <v>15</v>
      </c>
      <c r="D23" s="433" t="s">
        <v>16</v>
      </c>
      <c r="E23" s="433" t="s">
        <v>17</v>
      </c>
    </row>
    <row r="24" spans="1:5" ht="16.5" customHeight="1" x14ac:dyDescent="0.3">
      <c r="A24" s="435">
        <v>1</v>
      </c>
      <c r="B24" s="436">
        <v>2915725</v>
      </c>
      <c r="C24" s="436">
        <v>7155.63</v>
      </c>
      <c r="D24" s="437">
        <v>1.08</v>
      </c>
      <c r="E24" s="438">
        <v>5.16</v>
      </c>
    </row>
    <row r="25" spans="1:5" ht="16.5" customHeight="1" x14ac:dyDescent="0.3">
      <c r="A25" s="435">
        <v>2</v>
      </c>
      <c r="B25" s="436">
        <v>2923425</v>
      </c>
      <c r="C25" s="436">
        <v>7187.03</v>
      </c>
      <c r="D25" s="437">
        <v>1.1100000000000001</v>
      </c>
      <c r="E25" s="437">
        <v>5.16</v>
      </c>
    </row>
    <row r="26" spans="1:5" ht="16.5" customHeight="1" x14ac:dyDescent="0.3">
      <c r="A26" s="435">
        <v>3</v>
      </c>
      <c r="B26" s="436">
        <v>2916277</v>
      </c>
      <c r="C26" s="436">
        <v>7225.5</v>
      </c>
      <c r="D26" s="437">
        <v>1.0900000000000001</v>
      </c>
      <c r="E26" s="437">
        <v>5.17</v>
      </c>
    </row>
    <row r="27" spans="1:5" ht="16.5" customHeight="1" x14ac:dyDescent="0.3">
      <c r="A27" s="435">
        <v>4</v>
      </c>
      <c r="B27" s="436">
        <v>2916363</v>
      </c>
      <c r="C27" s="436">
        <v>7246.28</v>
      </c>
      <c r="D27" s="437">
        <v>1.1100000000000001</v>
      </c>
      <c r="E27" s="437">
        <v>5.17</v>
      </c>
    </row>
    <row r="28" spans="1:5" ht="16.5" customHeight="1" x14ac:dyDescent="0.3">
      <c r="A28" s="435">
        <v>5</v>
      </c>
      <c r="B28" s="436">
        <v>2940816</v>
      </c>
      <c r="C28" s="436">
        <v>7269.34</v>
      </c>
      <c r="D28" s="437">
        <v>1.0900000000000001</v>
      </c>
      <c r="E28" s="437">
        <v>5.17</v>
      </c>
    </row>
    <row r="29" spans="1:5" ht="16.5" customHeight="1" x14ac:dyDescent="0.3">
      <c r="A29" s="435">
        <v>6</v>
      </c>
      <c r="B29" s="439">
        <v>2956952</v>
      </c>
      <c r="C29" s="439">
        <v>7343.19</v>
      </c>
      <c r="D29" s="440">
        <v>1.0900000000000001</v>
      </c>
      <c r="E29" s="440">
        <v>5.17</v>
      </c>
    </row>
    <row r="30" spans="1:5" ht="16.5" customHeight="1" x14ac:dyDescent="0.3">
      <c r="A30" s="441" t="s">
        <v>18</v>
      </c>
      <c r="B30" s="442">
        <f>AVERAGE(B24:B29)</f>
        <v>2928259.6666666665</v>
      </c>
      <c r="C30" s="443">
        <f>AVERAGE(C24:C29)</f>
        <v>7237.8283333333338</v>
      </c>
      <c r="D30" s="444">
        <f>AVERAGE(D24:D29)</f>
        <v>1.095</v>
      </c>
      <c r="E30" s="444">
        <f>AVERAGE(E24:E29)</f>
        <v>5.166666666666667</v>
      </c>
    </row>
    <row r="31" spans="1:5" ht="16.5" customHeight="1" x14ac:dyDescent="0.3">
      <c r="A31" s="445" t="s">
        <v>19</v>
      </c>
      <c r="B31" s="446">
        <f>(STDEV(B24:B29)/B30)</f>
        <v>5.8085453634967657E-3</v>
      </c>
      <c r="C31" s="447"/>
      <c r="D31" s="447"/>
      <c r="E31" s="448"/>
    </row>
    <row r="32" spans="1:5" s="422" customFormat="1" ht="16.5" customHeight="1" x14ac:dyDescent="0.3">
      <c r="A32" s="449" t="s">
        <v>20</v>
      </c>
      <c r="B32" s="450">
        <f>COUNT(B24:B29)</f>
        <v>6</v>
      </c>
      <c r="C32" s="451"/>
      <c r="D32" s="452"/>
      <c r="E32" s="453"/>
    </row>
    <row r="33" spans="1:5" s="422" customFormat="1" ht="15.75" customHeight="1" x14ac:dyDescent="0.25">
      <c r="A33" s="428"/>
      <c r="B33" s="428"/>
      <c r="C33" s="428"/>
      <c r="D33" s="428"/>
      <c r="E33" s="428"/>
    </row>
    <row r="34" spans="1:5" s="422" customFormat="1" ht="16.5" customHeight="1" x14ac:dyDescent="0.3">
      <c r="A34" s="429" t="s">
        <v>21</v>
      </c>
      <c r="B34" s="454" t="s">
        <v>22</v>
      </c>
      <c r="C34" s="455"/>
      <c r="D34" s="455"/>
      <c r="E34" s="455"/>
    </row>
    <row r="35" spans="1:5" ht="16.5" customHeight="1" x14ac:dyDescent="0.3">
      <c r="A35" s="429"/>
      <c r="B35" s="454" t="s">
        <v>23</v>
      </c>
      <c r="C35" s="455"/>
      <c r="D35" s="455"/>
      <c r="E35" s="455"/>
    </row>
    <row r="36" spans="1:5" ht="16.5" customHeight="1" x14ac:dyDescent="0.3">
      <c r="A36" s="429"/>
      <c r="B36" s="454" t="s">
        <v>24</v>
      </c>
      <c r="C36" s="455"/>
      <c r="D36" s="455"/>
      <c r="E36" s="455"/>
    </row>
    <row r="37" spans="1:5" ht="15.75" customHeight="1" x14ac:dyDescent="0.25">
      <c r="A37" s="428"/>
      <c r="B37" s="428"/>
      <c r="C37" s="428"/>
      <c r="D37" s="428"/>
      <c r="E37" s="428"/>
    </row>
    <row r="38" spans="1:5" ht="16.5" customHeight="1" x14ac:dyDescent="0.3">
      <c r="A38" s="424" t="s">
        <v>1</v>
      </c>
      <c r="B38" s="425" t="s">
        <v>25</v>
      </c>
    </row>
    <row r="39" spans="1:5" ht="16.5" customHeight="1" x14ac:dyDescent="0.3">
      <c r="A39" s="429" t="s">
        <v>4</v>
      </c>
      <c r="B39" s="426" t="s">
        <v>136</v>
      </c>
      <c r="C39" s="428"/>
      <c r="D39" s="428"/>
      <c r="E39" s="428"/>
    </row>
    <row r="40" spans="1:5" ht="16.5" customHeight="1" x14ac:dyDescent="0.3">
      <c r="A40" s="429" t="s">
        <v>6</v>
      </c>
      <c r="B40" s="431">
        <v>99.3</v>
      </c>
      <c r="C40" s="428"/>
      <c r="D40" s="428"/>
      <c r="E40" s="428"/>
    </row>
    <row r="41" spans="1:5" ht="16.5" customHeight="1" x14ac:dyDescent="0.3">
      <c r="A41" s="426" t="s">
        <v>8</v>
      </c>
      <c r="B41" s="431">
        <v>20.93</v>
      </c>
      <c r="C41" s="428"/>
      <c r="D41" s="428"/>
      <c r="E41" s="428"/>
    </row>
    <row r="42" spans="1:5" ht="16.5" customHeight="1" x14ac:dyDescent="0.3">
      <c r="A42" s="426" t="s">
        <v>10</v>
      </c>
      <c r="B42" s="432">
        <f>B41/25*4/100</f>
        <v>3.3487999999999997E-2</v>
      </c>
      <c r="C42" s="428"/>
      <c r="D42" s="428"/>
      <c r="E42" s="428"/>
    </row>
    <row r="43" spans="1:5" ht="15.75" customHeight="1" x14ac:dyDescent="0.25">
      <c r="A43" s="428"/>
      <c r="B43" s="428"/>
      <c r="C43" s="428"/>
      <c r="D43" s="428"/>
      <c r="E43" s="428"/>
    </row>
    <row r="44" spans="1:5" ht="16.5" customHeight="1" x14ac:dyDescent="0.3">
      <c r="A44" s="433" t="s">
        <v>13</v>
      </c>
      <c r="B44" s="434" t="s">
        <v>14</v>
      </c>
      <c r="C44" s="433" t="s">
        <v>15</v>
      </c>
      <c r="D44" s="433" t="s">
        <v>16</v>
      </c>
      <c r="E44" s="433" t="s">
        <v>17</v>
      </c>
    </row>
    <row r="45" spans="1:5" ht="16.5" customHeight="1" x14ac:dyDescent="0.3">
      <c r="A45" s="435">
        <v>1</v>
      </c>
      <c r="B45" s="436">
        <v>2573797</v>
      </c>
      <c r="C45" s="436">
        <v>5458.2</v>
      </c>
      <c r="D45" s="437">
        <v>1.3</v>
      </c>
      <c r="E45" s="438">
        <v>5.0999999999999996</v>
      </c>
    </row>
    <row r="46" spans="1:5" ht="16.5" customHeight="1" x14ac:dyDescent="0.3">
      <c r="A46" s="435">
        <v>2</v>
      </c>
      <c r="B46" s="436">
        <v>2577225</v>
      </c>
      <c r="C46" s="436">
        <v>5463.9</v>
      </c>
      <c r="D46" s="437">
        <v>1.3</v>
      </c>
      <c r="E46" s="437">
        <v>5.0999999999999996</v>
      </c>
    </row>
    <row r="47" spans="1:5" ht="16.5" customHeight="1" x14ac:dyDescent="0.3">
      <c r="A47" s="435">
        <v>3</v>
      </c>
      <c r="B47" s="436">
        <v>2563469</v>
      </c>
      <c r="C47" s="436">
        <v>5458.8</v>
      </c>
      <c r="D47" s="437">
        <v>1.3</v>
      </c>
      <c r="E47" s="437">
        <v>5.0999999999999996</v>
      </c>
    </row>
    <row r="48" spans="1:5" ht="16.5" customHeight="1" x14ac:dyDescent="0.3">
      <c r="A48" s="435">
        <v>4</v>
      </c>
      <c r="B48" s="436">
        <v>2570556</v>
      </c>
      <c r="C48" s="436">
        <v>5457.4</v>
      </c>
      <c r="D48" s="437">
        <v>1.3</v>
      </c>
      <c r="E48" s="437">
        <v>5.0999999999999996</v>
      </c>
    </row>
    <row r="49" spans="1:7" ht="16.5" customHeight="1" x14ac:dyDescent="0.3">
      <c r="A49" s="435">
        <v>5</v>
      </c>
      <c r="B49" s="436">
        <v>2591306</v>
      </c>
      <c r="C49" s="436">
        <v>5453.8</v>
      </c>
      <c r="D49" s="437">
        <v>1.3</v>
      </c>
      <c r="E49" s="437">
        <v>5.0999999999999996</v>
      </c>
    </row>
    <row r="50" spans="1:7" ht="16.5" customHeight="1" x14ac:dyDescent="0.3">
      <c r="A50" s="435">
        <v>6</v>
      </c>
      <c r="B50" s="439">
        <v>2557701</v>
      </c>
      <c r="C50" s="439">
        <v>5461.7</v>
      </c>
      <c r="D50" s="440">
        <v>1.3</v>
      </c>
      <c r="E50" s="440">
        <v>5.0999999999999996</v>
      </c>
    </row>
    <row r="51" spans="1:7" ht="16.5" customHeight="1" x14ac:dyDescent="0.3">
      <c r="A51" s="441" t="s">
        <v>18</v>
      </c>
      <c r="B51" s="442">
        <f>AVERAGE(B45:B50)</f>
        <v>2572342.3333333335</v>
      </c>
      <c r="C51" s="443">
        <f>AVERAGE(C45:C50)</f>
        <v>5458.9666666666662</v>
      </c>
      <c r="D51" s="444">
        <f>AVERAGE(D45:D50)</f>
        <v>1.3</v>
      </c>
      <c r="E51" s="444">
        <f>AVERAGE(E45:E50)</f>
        <v>5.1000000000000005</v>
      </c>
    </row>
    <row r="52" spans="1:7" ht="16.5" customHeight="1" x14ac:dyDescent="0.3">
      <c r="A52" s="445" t="s">
        <v>19</v>
      </c>
      <c r="B52" s="446">
        <f>(STDEV(B45:B50)/B51)</f>
        <v>4.5398125495181695E-3</v>
      </c>
      <c r="C52" s="447"/>
      <c r="D52" s="447"/>
      <c r="E52" s="448"/>
    </row>
    <row r="53" spans="1:7" s="422" customFormat="1" ht="16.5" customHeight="1" x14ac:dyDescent="0.3">
      <c r="A53" s="449" t="s">
        <v>20</v>
      </c>
      <c r="B53" s="450">
        <f>COUNT(B45:B50)</f>
        <v>6</v>
      </c>
      <c r="C53" s="451"/>
      <c r="D53" s="452"/>
      <c r="E53" s="453"/>
    </row>
    <row r="54" spans="1:7" s="422" customFormat="1" ht="15.75" customHeight="1" x14ac:dyDescent="0.25">
      <c r="A54" s="428"/>
      <c r="B54" s="428"/>
      <c r="C54" s="428"/>
      <c r="D54" s="428"/>
      <c r="E54" s="428"/>
    </row>
    <row r="55" spans="1:7" s="422" customFormat="1" ht="16.5" customHeight="1" x14ac:dyDescent="0.3">
      <c r="A55" s="429" t="s">
        <v>21</v>
      </c>
      <c r="B55" s="454" t="s">
        <v>22</v>
      </c>
      <c r="C55" s="455"/>
      <c r="D55" s="455"/>
      <c r="E55" s="455"/>
    </row>
    <row r="56" spans="1:7" ht="16.5" customHeight="1" x14ac:dyDescent="0.3">
      <c r="A56" s="429"/>
      <c r="B56" s="454" t="s">
        <v>23</v>
      </c>
      <c r="C56" s="455"/>
      <c r="D56" s="455"/>
      <c r="E56" s="455"/>
    </row>
    <row r="57" spans="1:7" ht="16.5" customHeight="1" x14ac:dyDescent="0.3">
      <c r="A57" s="429"/>
      <c r="B57" s="454" t="s">
        <v>24</v>
      </c>
      <c r="C57" s="455"/>
      <c r="D57" s="455"/>
      <c r="E57" s="455"/>
    </row>
    <row r="58" spans="1:7" ht="14.25" customHeight="1" thickBot="1" x14ac:dyDescent="0.3">
      <c r="A58" s="456"/>
      <c r="B58" s="457"/>
      <c r="D58" s="458"/>
      <c r="F58" s="459"/>
      <c r="G58" s="459"/>
    </row>
    <row r="59" spans="1:7" ht="15" customHeight="1" x14ac:dyDescent="0.3">
      <c r="B59" s="555" t="s">
        <v>26</v>
      </c>
      <c r="C59" s="555"/>
      <c r="E59" s="460" t="s">
        <v>27</v>
      </c>
      <c r="F59" s="461"/>
      <c r="G59" s="460" t="s">
        <v>28</v>
      </c>
    </row>
    <row r="60" spans="1:7" ht="15" customHeight="1" x14ac:dyDescent="0.3">
      <c r="A60" s="462" t="s">
        <v>29</v>
      </c>
      <c r="B60" s="463"/>
      <c r="C60" s="463"/>
      <c r="E60" s="463"/>
      <c r="G60" s="463"/>
    </row>
    <row r="61" spans="1:7" ht="15" customHeight="1" x14ac:dyDescent="0.3">
      <c r="A61" s="462" t="s">
        <v>30</v>
      </c>
      <c r="B61" s="464"/>
      <c r="C61" s="464"/>
      <c r="E61" s="464"/>
      <c r="G61" s="46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E20" sqref="E20:E2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9" t="s">
        <v>31</v>
      </c>
      <c r="B11" s="560"/>
      <c r="C11" s="560"/>
      <c r="D11" s="560"/>
      <c r="E11" s="560"/>
      <c r="F11" s="561"/>
      <c r="G11" s="41"/>
    </row>
    <row r="12" spans="1:7" ht="16.5" customHeight="1" x14ac:dyDescent="0.3">
      <c r="A12" s="558" t="s">
        <v>32</v>
      </c>
      <c r="B12" s="558"/>
      <c r="C12" s="558"/>
      <c r="D12" s="558"/>
      <c r="E12" s="558"/>
      <c r="F12" s="558"/>
      <c r="G12" s="40"/>
    </row>
    <row r="14" spans="1:7" ht="16.5" customHeight="1" x14ac:dyDescent="0.3">
      <c r="A14" s="563" t="s">
        <v>33</v>
      </c>
      <c r="B14" s="563"/>
      <c r="C14" s="10" t="s">
        <v>5</v>
      </c>
    </row>
    <row r="15" spans="1:7" ht="16.5" customHeight="1" x14ac:dyDescent="0.3">
      <c r="A15" s="563" t="s">
        <v>34</v>
      </c>
      <c r="B15" s="563"/>
      <c r="C15" s="10" t="s">
        <v>7</v>
      </c>
    </row>
    <row r="16" spans="1:7" ht="16.5" customHeight="1" x14ac:dyDescent="0.3">
      <c r="A16" s="563" t="s">
        <v>35</v>
      </c>
      <c r="B16" s="563"/>
      <c r="C16" s="10" t="s">
        <v>9</v>
      </c>
    </row>
    <row r="17" spans="1:5" ht="16.5" customHeight="1" x14ac:dyDescent="0.3">
      <c r="A17" s="563" t="s">
        <v>36</v>
      </c>
      <c r="B17" s="563"/>
      <c r="C17" s="10" t="s">
        <v>11</v>
      </c>
    </row>
    <row r="18" spans="1:5" ht="16.5" customHeight="1" x14ac:dyDescent="0.3">
      <c r="A18" s="563" t="s">
        <v>37</v>
      </c>
      <c r="B18" s="563"/>
      <c r="C18" s="47" t="s">
        <v>12</v>
      </c>
    </row>
    <row r="19" spans="1:5" ht="16.5" customHeight="1" x14ac:dyDescent="0.3">
      <c r="A19" s="563" t="s">
        <v>38</v>
      </c>
      <c r="B19" s="56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8" t="s">
        <v>1</v>
      </c>
      <c r="B21" s="558"/>
      <c r="C21" s="9" t="s">
        <v>39</v>
      </c>
      <c r="D21" s="16"/>
    </row>
    <row r="22" spans="1:5" ht="15.75" customHeight="1" x14ac:dyDescent="0.3">
      <c r="A22" s="562"/>
      <c r="B22" s="562"/>
      <c r="C22" s="7"/>
      <c r="D22" s="562"/>
      <c r="E22" s="56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1038.51</v>
      </c>
      <c r="D24" s="37">
        <f t="shared" ref="D24:D43" si="0">(C24-$C$46)/$C$46</f>
        <v>-9.4206669009950783E-3</v>
      </c>
      <c r="E24" s="3"/>
    </row>
    <row r="25" spans="1:5" ht="15.75" customHeight="1" x14ac:dyDescent="0.3">
      <c r="C25" s="45">
        <v>1074.29</v>
      </c>
      <c r="D25" s="38">
        <f t="shared" si="0"/>
        <v>2.4707967910689323E-2</v>
      </c>
      <c r="E25" s="3"/>
    </row>
    <row r="26" spans="1:5" ht="15.75" customHeight="1" x14ac:dyDescent="0.3">
      <c r="C26" s="45">
        <v>1047.1500000000001</v>
      </c>
      <c r="D26" s="38">
        <f t="shared" si="0"/>
        <v>-1.1794314405994145E-3</v>
      </c>
      <c r="E26" s="3"/>
    </row>
    <row r="27" spans="1:5" ht="15.75" customHeight="1" x14ac:dyDescent="0.3">
      <c r="C27" s="45">
        <v>1035.3499999999999</v>
      </c>
      <c r="D27" s="38">
        <f t="shared" si="0"/>
        <v>-1.2434822462899092E-2</v>
      </c>
      <c r="E27" s="3"/>
    </row>
    <row r="28" spans="1:5" ht="15.75" customHeight="1" x14ac:dyDescent="0.3">
      <c r="C28" s="45">
        <v>1045.98</v>
      </c>
      <c r="D28" s="38">
        <f t="shared" si="0"/>
        <v>-2.295432075861384E-3</v>
      </c>
      <c r="E28" s="3"/>
    </row>
    <row r="29" spans="1:5" ht="15.75" customHeight="1" x14ac:dyDescent="0.3">
      <c r="C29" s="45">
        <v>1045.1199999999999</v>
      </c>
      <c r="D29" s="38">
        <f t="shared" si="0"/>
        <v>-3.1157402351138421E-3</v>
      </c>
      <c r="E29" s="3"/>
    </row>
    <row r="30" spans="1:5" ht="15.75" customHeight="1" x14ac:dyDescent="0.3">
      <c r="C30" s="45">
        <v>1045.31</v>
      </c>
      <c r="D30" s="38">
        <f t="shared" si="0"/>
        <v>-2.9345093627208317E-3</v>
      </c>
      <c r="E30" s="3"/>
    </row>
    <row r="31" spans="1:5" ht="15.75" customHeight="1" x14ac:dyDescent="0.3">
      <c r="C31" s="45">
        <v>1057.8</v>
      </c>
      <c r="D31" s="38">
        <f t="shared" si="0"/>
        <v>8.9790358803741605E-3</v>
      </c>
      <c r="E31" s="3"/>
    </row>
    <row r="32" spans="1:5" ht="15.75" customHeight="1" x14ac:dyDescent="0.3">
      <c r="C32" s="45">
        <v>1051.69</v>
      </c>
      <c r="D32" s="38">
        <f t="shared" si="0"/>
        <v>3.1510325628954449E-3</v>
      </c>
      <c r="E32" s="3"/>
    </row>
    <row r="33" spans="1:7" ht="15.75" customHeight="1" x14ac:dyDescent="0.3">
      <c r="C33" s="45">
        <v>1037.54</v>
      </c>
      <c r="D33" s="38">
        <f t="shared" si="0"/>
        <v>-1.0345898196895997E-2</v>
      </c>
      <c r="E33" s="3"/>
    </row>
    <row r="34" spans="1:7" ht="15.75" customHeight="1" x14ac:dyDescent="0.3">
      <c r="C34" s="45">
        <v>1034.1099999999999</v>
      </c>
      <c r="D34" s="38">
        <f t="shared" si="0"/>
        <v>-1.3617592366937353E-2</v>
      </c>
      <c r="E34" s="3"/>
    </row>
    <row r="35" spans="1:7" ht="15.75" customHeight="1" x14ac:dyDescent="0.3">
      <c r="C35" s="45">
        <v>1052.33</v>
      </c>
      <c r="D35" s="38">
        <f t="shared" si="0"/>
        <v>3.7614944488505507E-3</v>
      </c>
      <c r="E35" s="3"/>
    </row>
    <row r="36" spans="1:7" ht="15.75" customHeight="1" x14ac:dyDescent="0.3">
      <c r="C36" s="45">
        <v>1059.1400000000001</v>
      </c>
      <c r="D36" s="38">
        <f t="shared" si="0"/>
        <v>1.0257190454093056E-2</v>
      </c>
      <c r="E36" s="3"/>
    </row>
    <row r="37" spans="1:7" ht="15.75" customHeight="1" x14ac:dyDescent="0.3">
      <c r="C37" s="45">
        <v>1051.0999999999999</v>
      </c>
      <c r="D37" s="38">
        <f t="shared" si="0"/>
        <v>2.588263011780331E-3</v>
      </c>
      <c r="E37" s="3"/>
    </row>
    <row r="38" spans="1:7" ht="15.75" customHeight="1" x14ac:dyDescent="0.3">
      <c r="C38" s="45">
        <v>1056.8699999999999</v>
      </c>
      <c r="D38" s="38">
        <f t="shared" si="0"/>
        <v>8.0919584523454092E-3</v>
      </c>
      <c r="E38" s="3"/>
    </row>
    <row r="39" spans="1:7" ht="15.75" customHeight="1" x14ac:dyDescent="0.3">
      <c r="C39" s="45">
        <v>1045.3</v>
      </c>
      <c r="D39" s="38">
        <f t="shared" si="0"/>
        <v>-2.9440478296888736E-3</v>
      </c>
      <c r="E39" s="3"/>
    </row>
    <row r="40" spans="1:7" ht="15.75" customHeight="1" x14ac:dyDescent="0.3">
      <c r="C40" s="45">
        <v>1053.72</v>
      </c>
      <c r="D40" s="38">
        <f t="shared" si="0"/>
        <v>5.0873413574096553E-3</v>
      </c>
      <c r="E40" s="3"/>
    </row>
    <row r="41" spans="1:7" ht="15.75" customHeight="1" x14ac:dyDescent="0.3">
      <c r="C41" s="45">
        <v>1039.0899999999999</v>
      </c>
      <c r="D41" s="38">
        <f t="shared" si="0"/>
        <v>-8.8674358168482244E-3</v>
      </c>
      <c r="E41" s="3"/>
    </row>
    <row r="42" spans="1:7" ht="15.75" customHeight="1" x14ac:dyDescent="0.3">
      <c r="C42" s="45">
        <v>1041.83</v>
      </c>
      <c r="D42" s="38">
        <f t="shared" si="0"/>
        <v>-6.2538958676023977E-3</v>
      </c>
      <c r="E42" s="3"/>
    </row>
    <row r="43" spans="1:7" ht="16.5" customHeight="1" x14ac:dyDescent="0.3">
      <c r="C43" s="46">
        <v>1055.5</v>
      </c>
      <c r="D43" s="39">
        <f t="shared" si="0"/>
        <v>6.7851884777226056E-3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20967.730000000003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1048.3865000000001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6">
        <f>C46</f>
        <v>1048.3865000000001</v>
      </c>
      <c r="C49" s="43">
        <f>-IF(C46&lt;=80,10%,IF(C46&lt;250,7.5%,5%))</f>
        <v>-0.05</v>
      </c>
      <c r="D49" s="31">
        <f>IF(C46&lt;=80,C46*0.9,IF(C46&lt;250,C46*0.925,C46*0.95))</f>
        <v>995.967175</v>
      </c>
    </row>
    <row r="50" spans="1:6" ht="17.25" customHeight="1" x14ac:dyDescent="0.3">
      <c r="B50" s="557"/>
      <c r="C50" s="44">
        <f>IF(C46&lt;=80, 10%, IF(C46&lt;250, 7.5%, 5%))</f>
        <v>0.05</v>
      </c>
      <c r="D50" s="31">
        <f>IF(C46&lt;=80, C46*1.1, IF(C46&lt;250, C46*1.075, C46*1.05))</f>
        <v>1100.8058250000001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</vt:lpstr>
      <vt:lpstr>Sulfamethoxazole</vt:lpstr>
      <vt:lpstr>Trimethoprim</vt:lpstr>
      <vt:lpstr>sst trim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2017-08-03T14:49:39Z</cp:lastPrinted>
  <dcterms:created xsi:type="dcterms:W3CDTF">2005-07-05T10:19:27Z</dcterms:created>
  <dcterms:modified xsi:type="dcterms:W3CDTF">2017-08-04T08:23:45Z</dcterms:modified>
</cp:coreProperties>
</file>