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2"/>
  </bookViews>
  <sheets>
    <sheet name="SST TRIM" sheetId="1" r:id="rId1"/>
    <sheet name="Uniformity" sheetId="2" r:id="rId2"/>
    <sheet name="Sulfamethoxazole" sheetId="3" r:id="rId3"/>
    <sheet name="Trimethoprim" sheetId="4" r:id="rId4"/>
    <sheet name="SST SULF" sheetId="5" r:id="rId5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D68" i="4" l="1"/>
  <c r="D64" i="4"/>
  <c r="D6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21" i="1"/>
  <c r="C124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B57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4" l="1"/>
  <c r="F99" i="4" s="1"/>
  <c r="D101" i="4"/>
  <c r="I92" i="4"/>
  <c r="F44" i="4"/>
  <c r="F45" i="4" s="1"/>
  <c r="G41" i="4" s="1"/>
  <c r="D45" i="4"/>
  <c r="E39" i="4" s="1"/>
  <c r="I92" i="3"/>
  <c r="D101" i="3"/>
  <c r="D102" i="3" s="1"/>
  <c r="D49" i="3"/>
  <c r="F44" i="3"/>
  <c r="F45" i="3" s="1"/>
  <c r="G40" i="3" s="1"/>
  <c r="D45" i="3"/>
  <c r="D46" i="3" s="1"/>
  <c r="G94" i="4"/>
  <c r="G92" i="4"/>
  <c r="D102" i="4"/>
  <c r="F98" i="3"/>
  <c r="G93" i="3" s="1"/>
  <c r="D46" i="4"/>
  <c r="B69" i="4"/>
  <c r="D27" i="2"/>
  <c r="D35" i="2"/>
  <c r="D43" i="2"/>
  <c r="C49" i="2"/>
  <c r="D97" i="4"/>
  <c r="D98" i="4" s="1"/>
  <c r="D99" i="4" s="1"/>
  <c r="D31" i="2"/>
  <c r="D39" i="2"/>
  <c r="D24" i="2"/>
  <c r="D28" i="2"/>
  <c r="D32" i="2"/>
  <c r="D36" i="2"/>
  <c r="D40" i="2"/>
  <c r="D49" i="2"/>
  <c r="B57" i="3"/>
  <c r="B69" i="3" s="1"/>
  <c r="D49" i="4"/>
  <c r="C50" i="2"/>
  <c r="D97" i="3"/>
  <c r="D98" i="3" s="1"/>
  <c r="D25" i="2"/>
  <c r="D29" i="2"/>
  <c r="D33" i="2"/>
  <c r="D37" i="2"/>
  <c r="D41" i="2"/>
  <c r="D26" i="2"/>
  <c r="D30" i="2"/>
  <c r="D34" i="2"/>
  <c r="D38" i="2"/>
  <c r="D42" i="2"/>
  <c r="B49" i="2"/>
  <c r="D50" i="2"/>
  <c r="E92" i="3"/>
  <c r="G91" i="4" l="1"/>
  <c r="G93" i="4"/>
  <c r="G40" i="4"/>
  <c r="G39" i="4"/>
  <c r="F46" i="4"/>
  <c r="E40" i="4"/>
  <c r="E38" i="4"/>
  <c r="G95" i="4"/>
  <c r="E41" i="4"/>
  <c r="G38" i="4"/>
  <c r="E91" i="3"/>
  <c r="G94" i="3"/>
  <c r="F46" i="3"/>
  <c r="E40" i="3"/>
  <c r="E38" i="3"/>
  <c r="G39" i="3"/>
  <c r="G41" i="3"/>
  <c r="E39" i="3"/>
  <c r="G38" i="3"/>
  <c r="E41" i="3"/>
  <c r="D99" i="3"/>
  <c r="E93" i="3"/>
  <c r="E92" i="4"/>
  <c r="E94" i="4"/>
  <c r="G91" i="3"/>
  <c r="F99" i="3"/>
  <c r="G92" i="3"/>
  <c r="E91" i="4"/>
  <c r="E94" i="3"/>
  <c r="E93" i="4"/>
  <c r="G42" i="4" l="1"/>
  <c r="D52" i="4"/>
  <c r="E42" i="4"/>
  <c r="D50" i="4"/>
  <c r="G65" i="4" s="1"/>
  <c r="H65" i="4" s="1"/>
  <c r="D103" i="3"/>
  <c r="E112" i="3" s="1"/>
  <c r="F112" i="3" s="1"/>
  <c r="D105" i="3"/>
  <c r="E42" i="3"/>
  <c r="D50" i="3"/>
  <c r="G71" i="3" s="1"/>
  <c r="H71" i="3" s="1"/>
  <c r="D52" i="3"/>
  <c r="G42" i="3"/>
  <c r="E95" i="3"/>
  <c r="G95" i="3"/>
  <c r="D103" i="4"/>
  <c r="E95" i="4"/>
  <c r="D105" i="4"/>
  <c r="D51" i="4"/>
  <c r="G69" i="4"/>
  <c r="H69" i="4" s="1"/>
  <c r="G60" i="4" l="1"/>
  <c r="G68" i="4"/>
  <c r="H68" i="4" s="1"/>
  <c r="G64" i="4"/>
  <c r="H64" i="4" s="1"/>
  <c r="G61" i="4"/>
  <c r="H61" i="4" s="1"/>
  <c r="G66" i="4"/>
  <c r="H66" i="4" s="1"/>
  <c r="G70" i="4"/>
  <c r="H70" i="4" s="1"/>
  <c r="G63" i="4"/>
  <c r="H63" i="4" s="1"/>
  <c r="G67" i="4"/>
  <c r="H67" i="4" s="1"/>
  <c r="G62" i="4"/>
  <c r="H62" i="4" s="1"/>
  <c r="G71" i="4"/>
  <c r="H71" i="4" s="1"/>
  <c r="D104" i="3"/>
  <c r="E109" i="3"/>
  <c r="F109" i="3" s="1"/>
  <c r="E108" i="3"/>
  <c r="F108" i="3" s="1"/>
  <c r="E110" i="3"/>
  <c r="F110" i="3" s="1"/>
  <c r="E113" i="3"/>
  <c r="F113" i="3" s="1"/>
  <c r="E111" i="3"/>
  <c r="F111" i="3" s="1"/>
  <c r="G64" i="3"/>
  <c r="H64" i="3" s="1"/>
  <c r="G61" i="3"/>
  <c r="H61" i="3" s="1"/>
  <c r="G70" i="3"/>
  <c r="H70" i="3" s="1"/>
  <c r="G68" i="3"/>
  <c r="H68" i="3" s="1"/>
  <c r="D51" i="3"/>
  <c r="G66" i="3"/>
  <c r="H66" i="3" s="1"/>
  <c r="G63" i="3"/>
  <c r="H63" i="3" s="1"/>
  <c r="G65" i="3"/>
  <c r="H65" i="3" s="1"/>
  <c r="G60" i="3"/>
  <c r="H60" i="3" s="1"/>
  <c r="G69" i="3"/>
  <c r="H69" i="3" s="1"/>
  <c r="G67" i="3"/>
  <c r="H67" i="3" s="1"/>
  <c r="G62" i="3"/>
  <c r="H62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H60" i="4"/>
  <c r="G74" i="4" l="1"/>
  <c r="G72" i="4"/>
  <c r="G73" i="4" s="1"/>
  <c r="E117" i="3"/>
  <c r="E120" i="3"/>
  <c r="E119" i="3"/>
  <c r="E115" i="3"/>
  <c r="E116" i="3" s="1"/>
  <c r="G72" i="3"/>
  <c r="G73" i="3" s="1"/>
  <c r="G74" i="3"/>
  <c r="F119" i="3"/>
  <c r="F125" i="3"/>
  <c r="F120" i="3"/>
  <c r="F117" i="3"/>
  <c r="D125" i="3"/>
  <c r="F115" i="3"/>
  <c r="H74" i="3"/>
  <c r="H72" i="3"/>
  <c r="E120" i="4"/>
  <c r="E117" i="4"/>
  <c r="F108" i="4"/>
  <c r="E115" i="4"/>
  <c r="E116" i="4" s="1"/>
  <c r="E119" i="4"/>
  <c r="H74" i="4"/>
  <c r="H72" i="4"/>
  <c r="G76" i="4" l="1"/>
  <c r="H73" i="4"/>
  <c r="F125" i="4"/>
  <c r="F120" i="4"/>
  <c r="F117" i="4"/>
  <c r="D125" i="4"/>
  <c r="F115" i="4"/>
  <c r="F119" i="4"/>
  <c r="G124" i="3"/>
  <c r="F116" i="3"/>
  <c r="G76" i="3"/>
  <c r="H73" i="3"/>
  <c r="G124" i="4" l="1"/>
  <c r="F116" i="4"/>
</calcChain>
</file>

<file path=xl/sharedStrings.xml><?xml version="1.0" encoding="utf-8"?>
<sst xmlns="http://schemas.openxmlformats.org/spreadsheetml/2006/main" count="454" uniqueCount="135">
  <si>
    <t>HPLC System Suitability Report</t>
  </si>
  <si>
    <t>Analysis Data</t>
  </si>
  <si>
    <t>Assay</t>
  </si>
  <si>
    <t>Sample(s)</t>
  </si>
  <si>
    <t>Reference Substance:</t>
  </si>
  <si>
    <t>CO-TRIMOXAZOLE U.S.P  960 MG TABLETS</t>
  </si>
  <si>
    <t>% age Purity:</t>
  </si>
  <si>
    <t>NDQB201707010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</si>
  <si>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</si>
  <si>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</si>
  <si>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</si>
  <si>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</si>
  <si>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2017-07-19 08:30:01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</si>
  <si>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</si>
  <si>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</si>
  <si>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</si>
  <si>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</si>
  <si>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</si>
  <si>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</si>
  <si>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</si>
  <si>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</si>
  <si>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</si>
  <si>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</si>
  <si>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</si>
  <si>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</si>
  <si>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</si>
  <si>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</si>
  <si>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</si>
  <si>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</si>
  <si>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</si>
  <si>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</si>
  <si>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</si>
  <si>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</si>
  <si>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</si>
  <si>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</si>
  <si>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</si>
  <si>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</si>
  <si>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</si>
  <si>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</si>
  <si>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</si>
  <si>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</si>
  <si>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</si>
  <si>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</si>
  <si>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</si>
  <si>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</si>
  <si>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</si>
  <si>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</si>
  <si>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</si>
  <si>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</si>
  <si>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</si>
  <si>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</si>
  <si>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</si>
  <si>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</si>
  <si>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</si>
  <si>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</si>
  <si>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</si>
  <si>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</si>
  <si>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</si>
  <si>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</si>
  <si>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</si>
  <si>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</si>
  <si>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</si>
  <si>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</si>
  <si>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</si>
  <si>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</si>
  <si>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</si>
  <si>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</si>
  <si>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</si>
  <si>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</si>
  <si>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</si>
  <si>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</si>
  <si>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</si>
  <si>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</si>
  <si>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</si>
  <si>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</si>
  <si>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</si>
  <si>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</si>
  <si>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</si>
  <si>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</si>
  <si>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</si>
  <si>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</si>
  <si>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</si>
  <si>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</si>
  <si>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</si>
  <si>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</si>
  <si>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</si>
  <si>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</si>
  <si>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</si>
  <si>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</si>
  <si>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</si>
  <si>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</si>
  <si>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</si>
  <si>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</si>
  <si>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</si>
  <si>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</si>
  <si>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</si>
  <si>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</si>
  <si>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</si>
  <si>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</si>
  <si>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</si>
  <si>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</si>
  <si>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</si>
  <si>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</si>
  <si>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</si>
  <si>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</si>
  <si>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</si>
  <si>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</si>
  <si>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</si>
  <si>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</si>
  <si>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</si>
  <si>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</si>
  <si>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</si>
  <si>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</si>
  <si>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</si>
  <si>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</si>
  <si>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</si>
  <si>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</si>
  <si>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</si>
  <si>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</si>
  <si>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</si>
  <si>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</si>
  <si>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</si>
  <si>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</si>
  <si>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</si>
  <si>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</si>
  <si>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</si>
  <si>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</si>
  <si>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</si>
  <si>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</si>
  <si>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</si>
  <si>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</si>
  <si>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</si>
  <si>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S12-6</t>
  </si>
  <si>
    <t>Trimethoprim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</si>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</sst>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2" borderId="0" xfId="0" applyFont="1" applyFill="1"/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5" xfId="0" applyNumberFormat="1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2" fontId="7" fillId="3" borderId="57" xfId="0" applyNumberFormat="1" applyFont="1" applyFill="1" applyBorder="1" applyAlignment="1" applyProtection="1">
      <alignment horizontal="center"/>
      <protection locked="0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zoomScaleNormal="100" workbookViewId="0">
      <selection activeCell="B45" sqref="B45"/>
    </sheetView>
  </sheetViews>
  <sheetFormatPr defaultRowHeight="13.5" x14ac:dyDescent="0.25"/>
  <cols>
    <col min="1" max="1" width="35.5703125" style="4" customWidth="1"/>
    <col min="2" max="2" width="35" style="4" customWidth="1"/>
    <col min="3" max="3" width="36.42578125" style="4" customWidth="1"/>
    <col min="4" max="4" width="32.7109375" style="4" customWidth="1"/>
    <col min="5" max="5" width="38.4257812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3" t="s">
        <v>0</v>
      </c>
      <c r="B15" s="483"/>
      <c r="C15" s="483"/>
      <c r="D15" s="483"/>
      <c r="E15" s="4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5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0.16339999999999999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2573797</v>
      </c>
      <c r="C24" s="18">
        <v>5458.2</v>
      </c>
      <c r="D24" s="19">
        <v>1.3</v>
      </c>
      <c r="E24" s="20">
        <v>5.0999999999999996</v>
      </c>
    </row>
    <row r="25" spans="1:6" ht="16.5" customHeight="1" x14ac:dyDescent="0.3">
      <c r="A25" s="17">
        <v>2</v>
      </c>
      <c r="B25" s="18">
        <v>2577225</v>
      </c>
      <c r="C25" s="18">
        <v>5463.9</v>
      </c>
      <c r="D25" s="19">
        <v>1.3</v>
      </c>
      <c r="E25" s="19">
        <v>5.0999999999999996</v>
      </c>
    </row>
    <row r="26" spans="1:6" ht="16.5" customHeight="1" x14ac:dyDescent="0.3">
      <c r="A26" s="17">
        <v>3</v>
      </c>
      <c r="B26" s="18">
        <v>2563469</v>
      </c>
      <c r="C26" s="18">
        <v>5458.8</v>
      </c>
      <c r="D26" s="19">
        <v>1.3</v>
      </c>
      <c r="E26" s="19">
        <v>5.0999999999999996</v>
      </c>
    </row>
    <row r="27" spans="1:6" ht="16.5" customHeight="1" x14ac:dyDescent="0.3">
      <c r="A27" s="17">
        <v>4</v>
      </c>
      <c r="B27" s="18">
        <v>2570556</v>
      </c>
      <c r="C27" s="18">
        <v>5457.4</v>
      </c>
      <c r="D27" s="19">
        <v>1.3</v>
      </c>
      <c r="E27" s="19">
        <v>5.0999999999999996</v>
      </c>
    </row>
    <row r="28" spans="1:6" ht="16.5" customHeight="1" x14ac:dyDescent="0.3">
      <c r="A28" s="17">
        <v>5</v>
      </c>
      <c r="B28" s="18">
        <v>2591306</v>
      </c>
      <c r="C28" s="18">
        <v>5453.8</v>
      </c>
      <c r="D28" s="19">
        <v>1.3</v>
      </c>
      <c r="E28" s="19">
        <v>5.0999999999999996</v>
      </c>
    </row>
    <row r="29" spans="1:6" ht="16.5" customHeight="1" x14ac:dyDescent="0.3">
      <c r="A29" s="17">
        <v>6</v>
      </c>
      <c r="B29" s="21">
        <v>2557701</v>
      </c>
      <c r="C29" s="21">
        <v>5461.7</v>
      </c>
      <c r="D29" s="22">
        <v>1.3</v>
      </c>
      <c r="E29" s="22">
        <v>5.0999999999999996</v>
      </c>
    </row>
    <row r="30" spans="1:6" ht="16.5" customHeight="1" x14ac:dyDescent="0.3">
      <c r="A30" s="23" t="s">
        <v>18</v>
      </c>
      <c r="B30" s="24">
        <f>AVERAGE(B24:B29)</f>
        <v>2572342.3333333335</v>
      </c>
      <c r="C30" s="25">
        <f>AVERAGE(C24:C29)</f>
        <v>5458.9666666666662</v>
      </c>
      <c r="D30" s="26">
        <f>AVERAGE(D24:D29)</f>
        <v>1.3</v>
      </c>
      <c r="E30" s="26">
        <f>AVERAGE(E24:E29)</f>
        <v>5.1000000000000005</v>
      </c>
    </row>
    <row r="31" spans="1:6" ht="16.5" customHeight="1" x14ac:dyDescent="0.3">
      <c r="A31" s="27" t="s">
        <v>19</v>
      </c>
      <c r="B31" s="28">
        <f>(STDEV(B24:B29)/B30)</f>
        <v>4.5398125495181695E-3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99.02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16.34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0.16339999999999999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2573797</v>
      </c>
      <c r="C45" s="18">
        <v>5458.2</v>
      </c>
      <c r="D45" s="19">
        <v>1.3</v>
      </c>
      <c r="E45" s="20">
        <v>5.0999999999999996</v>
      </c>
    </row>
    <row r="46" spans="1:6" ht="16.5" customHeight="1" x14ac:dyDescent="0.3">
      <c r="A46" s="17">
        <v>2</v>
      </c>
      <c r="B46" s="18">
        <v>2577225</v>
      </c>
      <c r="C46" s="18">
        <v>5463.9</v>
      </c>
      <c r="D46" s="19">
        <v>1.3</v>
      </c>
      <c r="E46" s="19">
        <v>5.0999999999999996</v>
      </c>
    </row>
    <row r="47" spans="1:6" ht="16.5" customHeight="1" x14ac:dyDescent="0.3">
      <c r="A47" s="17">
        <v>3</v>
      </c>
      <c r="B47" s="18">
        <v>2563469</v>
      </c>
      <c r="C47" s="18">
        <v>5458.8</v>
      </c>
      <c r="D47" s="19">
        <v>1.3</v>
      </c>
      <c r="E47" s="19">
        <v>5.0999999999999996</v>
      </c>
    </row>
    <row r="48" spans="1:6" ht="16.5" customHeight="1" x14ac:dyDescent="0.3">
      <c r="A48" s="17">
        <v>4</v>
      </c>
      <c r="B48" s="18">
        <v>2570556</v>
      </c>
      <c r="C48" s="18">
        <v>5457.4</v>
      </c>
      <c r="D48" s="19">
        <v>1.3</v>
      </c>
      <c r="E48" s="19">
        <v>5.0999999999999996</v>
      </c>
    </row>
    <row r="49" spans="1:7" ht="16.5" customHeight="1" x14ac:dyDescent="0.3">
      <c r="A49" s="17">
        <v>5</v>
      </c>
      <c r="B49" s="18">
        <v>2591306</v>
      </c>
      <c r="C49" s="18">
        <v>5453.8</v>
      </c>
      <c r="D49" s="19">
        <v>1.3</v>
      </c>
      <c r="E49" s="19">
        <v>5.0999999999999996</v>
      </c>
    </row>
    <row r="50" spans="1:7" ht="16.5" customHeight="1" x14ac:dyDescent="0.3">
      <c r="A50" s="17">
        <v>6</v>
      </c>
      <c r="B50" s="21">
        <v>2557701</v>
      </c>
      <c r="C50" s="21">
        <v>5461.7</v>
      </c>
      <c r="D50" s="22">
        <v>1.3</v>
      </c>
      <c r="E50" s="22">
        <v>5.0999999999999996</v>
      </c>
    </row>
    <row r="51" spans="1:7" ht="16.5" customHeight="1" x14ac:dyDescent="0.3">
      <c r="A51" s="23" t="s">
        <v>18</v>
      </c>
      <c r="B51" s="24">
        <f>AVERAGE(B45:B50)</f>
        <v>2572342.3333333335</v>
      </c>
      <c r="C51" s="25">
        <f>AVERAGE(C45:C50)</f>
        <v>5458.9666666666662</v>
      </c>
      <c r="D51" s="26">
        <f>AVERAGE(D45:D50)</f>
        <v>1.3</v>
      </c>
      <c r="E51" s="26">
        <f>AVERAGE(E45:E50)</f>
        <v>5.1000000000000005</v>
      </c>
    </row>
    <row r="52" spans="1:7" ht="16.5" customHeight="1" x14ac:dyDescent="0.3">
      <c r="A52" s="27" t="s">
        <v>19</v>
      </c>
      <c r="B52" s="28">
        <f>(STDEV(B45:B50)/B51)</f>
        <v>4.5398125495181695E-3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84" t="s">
        <v>26</v>
      </c>
      <c r="C59" s="4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C51" sqref="C5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8" t="s">
        <v>31</v>
      </c>
      <c r="B11" s="489"/>
      <c r="C11" s="489"/>
      <c r="D11" s="489"/>
      <c r="E11" s="489"/>
      <c r="F11" s="490"/>
      <c r="G11" s="91"/>
    </row>
    <row r="12" spans="1:7" ht="16.5" customHeight="1" x14ac:dyDescent="0.3">
      <c r="A12" s="487" t="s">
        <v>32</v>
      </c>
      <c r="B12" s="487"/>
      <c r="C12" s="487"/>
      <c r="D12" s="487"/>
      <c r="E12" s="487"/>
      <c r="F12" s="487"/>
      <c r="G12" s="90"/>
    </row>
    <row r="14" spans="1:7" ht="16.5" customHeight="1" x14ac:dyDescent="0.3">
      <c r="A14" s="492" t="s">
        <v>33</v>
      </c>
      <c r="B14" s="492"/>
      <c r="C14" s="60" t="s">
        <v>5</v>
      </c>
    </row>
    <row r="15" spans="1:7" ht="16.5" customHeight="1" x14ac:dyDescent="0.3">
      <c r="A15" s="492" t="s">
        <v>34</v>
      </c>
      <c r="B15" s="492"/>
      <c r="C15" s="60" t="s">
        <v>7</v>
      </c>
    </row>
    <row r="16" spans="1:7" ht="16.5" customHeight="1" x14ac:dyDescent="0.3">
      <c r="A16" s="492" t="s">
        <v>35</v>
      </c>
      <c r="B16" s="492"/>
      <c r="C16" s="60" t="s">
        <v>9</v>
      </c>
    </row>
    <row r="17" spans="1:5" ht="16.5" customHeight="1" x14ac:dyDescent="0.3">
      <c r="A17" s="492" t="s">
        <v>36</v>
      </c>
      <c r="B17" s="492"/>
      <c r="C17" s="60" t="s">
        <v>11</v>
      </c>
    </row>
    <row r="18" spans="1:5" ht="16.5" customHeight="1" x14ac:dyDescent="0.3">
      <c r="A18" s="492" t="s">
        <v>37</v>
      </c>
      <c r="B18" s="492"/>
      <c r="C18" s="97" t="s">
        <v>12</v>
      </c>
    </row>
    <row r="19" spans="1:5" ht="16.5" customHeight="1" x14ac:dyDescent="0.3">
      <c r="A19" s="492" t="s">
        <v>38</v>
      </c>
      <c r="B19" s="4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7" t="s">
        <v>1</v>
      </c>
      <c r="B21" s="487"/>
      <c r="C21" s="59" t="s">
        <v>39</v>
      </c>
      <c r="D21" s="66"/>
    </row>
    <row r="22" spans="1:5" ht="15.75" customHeight="1" x14ac:dyDescent="0.3">
      <c r="A22" s="491"/>
      <c r="B22" s="491"/>
      <c r="C22" s="57"/>
      <c r="D22" s="491"/>
      <c r="E22" s="4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1045.8800000000001</v>
      </c>
      <c r="D24" s="87">
        <f t="shared" ref="D24:D43" si="0">(C24-$C$46)/$C$46</f>
        <v>2.9612808690517313E-3</v>
      </c>
      <c r="E24" s="53"/>
    </row>
    <row r="25" spans="1:5" ht="15.75" customHeight="1" x14ac:dyDescent="0.3">
      <c r="C25" s="95">
        <v>1050.1600000000001</v>
      </c>
      <c r="D25" s="88">
        <f t="shared" si="0"/>
        <v>7.0656468404055326E-3</v>
      </c>
      <c r="E25" s="53"/>
    </row>
    <row r="26" spans="1:5" ht="15.75" customHeight="1" x14ac:dyDescent="0.3">
      <c r="C26" s="95">
        <v>1047.6099999999999</v>
      </c>
      <c r="D26" s="88">
        <f t="shared" si="0"/>
        <v>4.6202886098090359E-3</v>
      </c>
      <c r="E26" s="53"/>
    </row>
    <row r="27" spans="1:5" ht="15.75" customHeight="1" x14ac:dyDescent="0.3">
      <c r="C27" s="95">
        <v>1041.19</v>
      </c>
      <c r="D27" s="88">
        <f t="shared" si="0"/>
        <v>-1.5362603472215571E-3</v>
      </c>
      <c r="E27" s="53"/>
    </row>
    <row r="28" spans="1:5" ht="15.75" customHeight="1" x14ac:dyDescent="0.3">
      <c r="C28" s="95">
        <v>1039.1300000000001</v>
      </c>
      <c r="D28" s="88">
        <f t="shared" si="0"/>
        <v>-3.5117262119385337E-3</v>
      </c>
      <c r="E28" s="53"/>
    </row>
    <row r="29" spans="1:5" ht="15.75" customHeight="1" x14ac:dyDescent="0.3">
      <c r="C29" s="95">
        <v>1040.95</v>
      </c>
      <c r="D29" s="88">
        <f t="shared" si="0"/>
        <v>-1.7664117101012196E-3</v>
      </c>
      <c r="E29" s="53"/>
    </row>
    <row r="30" spans="1:5" ht="15.75" customHeight="1" x14ac:dyDescent="0.3">
      <c r="C30" s="95">
        <v>1038.32</v>
      </c>
      <c r="D30" s="88">
        <f t="shared" si="0"/>
        <v>-4.2884870616575312E-3</v>
      </c>
      <c r="E30" s="53"/>
    </row>
    <row r="31" spans="1:5" ht="15.75" customHeight="1" x14ac:dyDescent="0.3">
      <c r="C31" s="95">
        <v>1031.07</v>
      </c>
      <c r="D31" s="88">
        <f t="shared" si="0"/>
        <v>-1.1240976148647075E-2</v>
      </c>
      <c r="E31" s="53"/>
    </row>
    <row r="32" spans="1:5" ht="15.75" customHeight="1" x14ac:dyDescent="0.3">
      <c r="C32" s="95">
        <v>1051.45</v>
      </c>
      <c r="D32" s="88">
        <f t="shared" si="0"/>
        <v>8.3027104158836379E-3</v>
      </c>
      <c r="E32" s="53"/>
    </row>
    <row r="33" spans="1:7" ht="15.75" customHeight="1" x14ac:dyDescent="0.3">
      <c r="C33" s="95">
        <v>1038.58</v>
      </c>
      <c r="D33" s="88">
        <f t="shared" si="0"/>
        <v>-4.0391564185379147E-3</v>
      </c>
      <c r="E33" s="53"/>
    </row>
    <row r="34" spans="1:7" ht="15.75" customHeight="1" x14ac:dyDescent="0.3">
      <c r="C34" s="95">
        <v>1039.17</v>
      </c>
      <c r="D34" s="88">
        <f t="shared" si="0"/>
        <v>-3.4733676514586264E-3</v>
      </c>
      <c r="E34" s="53"/>
    </row>
    <row r="35" spans="1:7" ht="15.75" customHeight="1" x14ac:dyDescent="0.3">
      <c r="C35" s="95">
        <v>1048.26</v>
      </c>
      <c r="D35" s="88">
        <f t="shared" si="0"/>
        <v>5.2436152176081859E-3</v>
      </c>
      <c r="E35" s="53"/>
    </row>
    <row r="36" spans="1:7" ht="15.75" customHeight="1" x14ac:dyDescent="0.3">
      <c r="C36" s="95">
        <v>1046.73</v>
      </c>
      <c r="D36" s="88">
        <f t="shared" si="0"/>
        <v>3.7764002792504184E-3</v>
      </c>
      <c r="E36" s="53"/>
    </row>
    <row r="37" spans="1:7" ht="15.75" customHeight="1" x14ac:dyDescent="0.3">
      <c r="C37" s="95">
        <v>1043.1600000000001</v>
      </c>
      <c r="D37" s="88">
        <f t="shared" si="0"/>
        <v>3.5289875641562798E-4</v>
      </c>
      <c r="E37" s="53"/>
    </row>
    <row r="38" spans="1:7" ht="15.75" customHeight="1" x14ac:dyDescent="0.3">
      <c r="C38" s="95">
        <v>1039.03</v>
      </c>
      <c r="D38" s="88">
        <f t="shared" si="0"/>
        <v>-3.6076226131385204E-3</v>
      </c>
      <c r="E38" s="53"/>
    </row>
    <row r="39" spans="1:7" ht="15.75" customHeight="1" x14ac:dyDescent="0.3">
      <c r="C39" s="95">
        <v>1045.68</v>
      </c>
      <c r="D39" s="88">
        <f t="shared" si="0"/>
        <v>2.7694880666519761E-3</v>
      </c>
      <c r="E39" s="53"/>
    </row>
    <row r="40" spans="1:7" ht="15.75" customHeight="1" x14ac:dyDescent="0.3">
      <c r="C40" s="95">
        <v>1040.04</v>
      </c>
      <c r="D40" s="88">
        <f t="shared" si="0"/>
        <v>-2.6390689610199859E-3</v>
      </c>
      <c r="E40" s="53"/>
    </row>
    <row r="41" spans="1:7" ht="15.75" customHeight="1" x14ac:dyDescent="0.3">
      <c r="C41" s="95">
        <v>1048.7</v>
      </c>
      <c r="D41" s="88">
        <f t="shared" si="0"/>
        <v>5.6655593828876033E-3</v>
      </c>
      <c r="E41" s="53"/>
    </row>
    <row r="42" spans="1:7" ht="15.75" customHeight="1" x14ac:dyDescent="0.3">
      <c r="C42" s="95">
        <v>1043</v>
      </c>
      <c r="D42" s="88">
        <f t="shared" si="0"/>
        <v>1.9946451449578026E-4</v>
      </c>
      <c r="E42" s="53"/>
    </row>
    <row r="43" spans="1:7" ht="16.5" customHeight="1" x14ac:dyDescent="0.3">
      <c r="C43" s="96">
        <v>1037.73</v>
      </c>
      <c r="D43" s="89">
        <f t="shared" si="0"/>
        <v>-4.8542758287366018E-3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20855.84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1042.7919999999999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85">
        <f>C46</f>
        <v>1042.7919999999999</v>
      </c>
      <c r="C49" s="93">
        <f>-IF(C46&lt;=80,10%,IF(C46&lt;250,7.5%,5%))</f>
        <v>-0.05</v>
      </c>
      <c r="D49" s="81">
        <f>IF(C46&lt;=80,C46*0.9,IF(C46&lt;250,C46*0.925,C46*0.95))</f>
        <v>990.65239999999983</v>
      </c>
    </row>
    <row r="50" spans="1:6" ht="17.25" customHeight="1" x14ac:dyDescent="0.3">
      <c r="B50" s="486"/>
      <c r="C50" s="94">
        <f>IF(C46&lt;=80, 10%, IF(C46&lt;250, 7.5%, 5%))</f>
        <v>0.05</v>
      </c>
      <c r="D50" s="81">
        <f>IF(C46&lt;=80, C46*1.1, IF(C46&lt;250, C46*1.075, C46*1.05))</f>
        <v>1094.9315999999999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57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5" t="s">
        <v>45</v>
      </c>
      <c r="B1" s="525"/>
      <c r="C1" s="525"/>
      <c r="D1" s="525"/>
      <c r="E1" s="525"/>
      <c r="F1" s="525"/>
      <c r="G1" s="525"/>
      <c r="H1" s="525"/>
      <c r="I1" s="525"/>
    </row>
    <row r="2" spans="1:9" ht="18.75" customHeight="1" x14ac:dyDescent="0.25">
      <c r="A2" s="525"/>
      <c r="B2" s="525"/>
      <c r="C2" s="525"/>
      <c r="D2" s="525"/>
      <c r="E2" s="525"/>
      <c r="F2" s="525"/>
      <c r="G2" s="525"/>
      <c r="H2" s="525"/>
      <c r="I2" s="525"/>
    </row>
    <row r="3" spans="1:9" ht="18.75" customHeight="1" x14ac:dyDescent="0.25">
      <c r="A3" s="525"/>
      <c r="B3" s="525"/>
      <c r="C3" s="525"/>
      <c r="D3" s="525"/>
      <c r="E3" s="525"/>
      <c r="F3" s="525"/>
      <c r="G3" s="525"/>
      <c r="H3" s="525"/>
      <c r="I3" s="525"/>
    </row>
    <row r="4" spans="1:9" ht="18.75" customHeight="1" x14ac:dyDescent="0.25">
      <c r="A4" s="525"/>
      <c r="B4" s="525"/>
      <c r="C4" s="525"/>
      <c r="D4" s="525"/>
      <c r="E4" s="525"/>
      <c r="F4" s="525"/>
      <c r="G4" s="525"/>
      <c r="H4" s="525"/>
      <c r="I4" s="525"/>
    </row>
    <row r="5" spans="1:9" ht="18.75" customHeight="1" x14ac:dyDescent="0.25">
      <c r="A5" s="525"/>
      <c r="B5" s="525"/>
      <c r="C5" s="525"/>
      <c r="D5" s="525"/>
      <c r="E5" s="525"/>
      <c r="F5" s="525"/>
      <c r="G5" s="525"/>
      <c r="H5" s="525"/>
      <c r="I5" s="525"/>
    </row>
    <row r="6" spans="1:9" ht="18.75" customHeight="1" x14ac:dyDescent="0.25">
      <c r="A6" s="525"/>
      <c r="B6" s="525"/>
      <c r="C6" s="525"/>
      <c r="D6" s="525"/>
      <c r="E6" s="525"/>
      <c r="F6" s="525"/>
      <c r="G6" s="525"/>
      <c r="H6" s="525"/>
      <c r="I6" s="525"/>
    </row>
    <row r="7" spans="1:9" ht="18.75" customHeight="1" x14ac:dyDescent="0.25">
      <c r="A7" s="525"/>
      <c r="B7" s="525"/>
      <c r="C7" s="525"/>
      <c r="D7" s="525"/>
      <c r="E7" s="525"/>
      <c r="F7" s="525"/>
      <c r="G7" s="525"/>
      <c r="H7" s="525"/>
      <c r="I7" s="525"/>
    </row>
    <row r="8" spans="1:9" x14ac:dyDescent="0.25">
      <c r="A8" s="526" t="s">
        <v>46</v>
      </c>
      <c r="B8" s="526"/>
      <c r="C8" s="526"/>
      <c r="D8" s="526"/>
      <c r="E8" s="526"/>
      <c r="F8" s="526"/>
      <c r="G8" s="526"/>
      <c r="H8" s="526"/>
      <c r="I8" s="526"/>
    </row>
    <row r="9" spans="1:9" x14ac:dyDescent="0.25">
      <c r="A9" s="526"/>
      <c r="B9" s="526"/>
      <c r="C9" s="526"/>
      <c r="D9" s="526"/>
      <c r="E9" s="526"/>
      <c r="F9" s="526"/>
      <c r="G9" s="526"/>
      <c r="H9" s="526"/>
      <c r="I9" s="526"/>
    </row>
    <row r="10" spans="1:9" x14ac:dyDescent="0.25">
      <c r="A10" s="526"/>
      <c r="B10" s="526"/>
      <c r="C10" s="526"/>
      <c r="D10" s="526"/>
      <c r="E10" s="526"/>
      <c r="F10" s="526"/>
      <c r="G10" s="526"/>
      <c r="H10" s="526"/>
      <c r="I10" s="526"/>
    </row>
    <row r="11" spans="1:9" x14ac:dyDescent="0.25">
      <c r="A11" s="526"/>
      <c r="B11" s="526"/>
      <c r="C11" s="526"/>
      <c r="D11" s="526"/>
      <c r="E11" s="526"/>
      <c r="F11" s="526"/>
      <c r="G11" s="526"/>
      <c r="H11" s="526"/>
      <c r="I11" s="526"/>
    </row>
    <row r="12" spans="1:9" x14ac:dyDescent="0.25">
      <c r="A12" s="526"/>
      <c r="B12" s="526"/>
      <c r="C12" s="526"/>
      <c r="D12" s="526"/>
      <c r="E12" s="526"/>
      <c r="F12" s="526"/>
      <c r="G12" s="526"/>
      <c r="H12" s="526"/>
      <c r="I12" s="526"/>
    </row>
    <row r="13" spans="1:9" x14ac:dyDescent="0.25">
      <c r="A13" s="526"/>
      <c r="B13" s="526"/>
      <c r="C13" s="526"/>
      <c r="D13" s="526"/>
      <c r="E13" s="526"/>
      <c r="F13" s="526"/>
      <c r="G13" s="526"/>
      <c r="H13" s="526"/>
      <c r="I13" s="526"/>
    </row>
    <row r="14" spans="1:9" x14ac:dyDescent="0.25">
      <c r="A14" s="526"/>
      <c r="B14" s="526"/>
      <c r="C14" s="526"/>
      <c r="D14" s="526"/>
      <c r="E14" s="526"/>
      <c r="F14" s="526"/>
      <c r="G14" s="526"/>
      <c r="H14" s="526"/>
      <c r="I14" s="526"/>
    </row>
    <row r="15" spans="1:9" ht="19.5" customHeight="1" x14ac:dyDescent="0.3">
      <c r="A15" s="98"/>
    </row>
    <row r="16" spans="1:9" ht="19.5" customHeight="1" x14ac:dyDescent="0.3">
      <c r="A16" s="497" t="s">
        <v>31</v>
      </c>
      <c r="B16" s="498"/>
      <c r="C16" s="498"/>
      <c r="D16" s="498"/>
      <c r="E16" s="498"/>
      <c r="F16" s="498"/>
      <c r="G16" s="498"/>
      <c r="H16" s="499"/>
    </row>
    <row r="17" spans="1:14" ht="20.25" customHeight="1" x14ac:dyDescent="0.25">
      <c r="A17" s="500" t="s">
        <v>47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100" t="s">
        <v>33</v>
      </c>
      <c r="B18" s="496" t="s">
        <v>5</v>
      </c>
      <c r="C18" s="496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01" t="s">
        <v>9</v>
      </c>
      <c r="C20" s="50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01" t="s">
        <v>11</v>
      </c>
      <c r="C21" s="501"/>
      <c r="D21" s="501"/>
      <c r="E21" s="501"/>
      <c r="F21" s="501"/>
      <c r="G21" s="501"/>
      <c r="H21" s="501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95" t="s">
        <v>131</v>
      </c>
      <c r="C26" s="496"/>
    </row>
    <row r="27" spans="1:14" ht="26.25" customHeight="1" x14ac:dyDescent="0.4">
      <c r="A27" s="109" t="s">
        <v>48</v>
      </c>
      <c r="B27" s="502" t="s">
        <v>132</v>
      </c>
      <c r="C27" s="503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>
        <v>0</v>
      </c>
      <c r="C29" s="504" t="s">
        <v>50</v>
      </c>
      <c r="D29" s="505"/>
      <c r="E29" s="505"/>
      <c r="F29" s="505"/>
      <c r="G29" s="5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07" t="s">
        <v>53</v>
      </c>
      <c r="D31" s="508"/>
      <c r="E31" s="508"/>
      <c r="F31" s="508"/>
      <c r="G31" s="508"/>
      <c r="H31" s="5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07" t="s">
        <v>55</v>
      </c>
      <c r="D32" s="508"/>
      <c r="E32" s="508"/>
      <c r="F32" s="508"/>
      <c r="G32" s="508"/>
      <c r="H32" s="5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510" t="s">
        <v>59</v>
      </c>
      <c r="E36" s="511"/>
      <c r="F36" s="510" t="s">
        <v>60</v>
      </c>
      <c r="G36" s="5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36417509</v>
      </c>
      <c r="E38" s="133">
        <f>IF(ISBLANK(D38),"-",$D$48/$D$45*D38)</f>
        <v>36012663.63854143</v>
      </c>
      <c r="F38" s="132">
        <v>39420372</v>
      </c>
      <c r="G38" s="134">
        <f>IF(ISBLANK(F38),"-",$D$48/$F$45*F38)</f>
        <v>35704497.800417185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36505778</v>
      </c>
      <c r="E39" s="138">
        <f>IF(ISBLANK(D39),"-",$D$48/$D$45*D39)</f>
        <v>36099951.371667556</v>
      </c>
      <c r="F39" s="137">
        <v>39692350</v>
      </c>
      <c r="G39" s="139">
        <f>IF(ISBLANK(F39),"-",$D$48/$F$45*F39)</f>
        <v>35950838.395649567</v>
      </c>
      <c r="I39" s="514">
        <f>ABS((F43/D43*D42)-F42)/D42</f>
        <v>1.1035221657603674E-2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36372206</v>
      </c>
      <c r="E40" s="138">
        <f>IF(ISBLANK(D40),"-",$D$48/$D$45*D40)</f>
        <v>35967864.261933409</v>
      </c>
      <c r="F40" s="137">
        <v>39009917</v>
      </c>
      <c r="G40" s="139">
        <f>IF(ISBLANK(F40),"-",$D$48/$F$45*F40)</f>
        <v>35332733.433387108</v>
      </c>
      <c r="I40" s="5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36431831</v>
      </c>
      <c r="E42" s="148">
        <f>AVERAGE(E38:E41)</f>
        <v>36026826.42404747</v>
      </c>
      <c r="F42" s="147">
        <f>AVERAGE(F38:F41)</f>
        <v>39374213</v>
      </c>
      <c r="G42" s="149">
        <f>AVERAGE(G38:G41)</f>
        <v>35662689.876484625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16.34</v>
      </c>
      <c r="E43" s="140"/>
      <c r="F43" s="152">
        <v>17.84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16.34</v>
      </c>
      <c r="E44" s="155"/>
      <c r="F44" s="154">
        <f>F43*$B$34</f>
        <v>17.84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16.179867999999999</v>
      </c>
      <c r="E45" s="158"/>
      <c r="F45" s="157">
        <f>F44*$B$30/100</f>
        <v>17.665167999999998</v>
      </c>
      <c r="H45" s="150"/>
    </row>
    <row r="46" spans="1:14" ht="19.5" customHeight="1" x14ac:dyDescent="0.3">
      <c r="A46" s="515" t="s">
        <v>78</v>
      </c>
      <c r="B46" s="516"/>
      <c r="C46" s="153" t="s">
        <v>79</v>
      </c>
      <c r="D46" s="159">
        <f>D45/$B$45</f>
        <v>0.16179868</v>
      </c>
      <c r="E46" s="160"/>
      <c r="F46" s="161">
        <f>F45/$B$45</f>
        <v>0.17665167999999998</v>
      </c>
      <c r="H46" s="150"/>
    </row>
    <row r="47" spans="1:14" ht="27" customHeight="1" x14ac:dyDescent="0.4">
      <c r="A47" s="517"/>
      <c r="B47" s="518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35844758.150266044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7.9062026518410197E-3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Sulphamethoxazole B.P. 800 mg and Trimethoprim B.P. 160 mg.</v>
      </c>
    </row>
    <row r="56" spans="1:12" ht="26.25" customHeight="1" x14ac:dyDescent="0.4">
      <c r="A56" s="177" t="s">
        <v>87</v>
      </c>
      <c r="B56" s="178">
        <v>800</v>
      </c>
      <c r="C56" s="99" t="str">
        <f>B20</f>
        <v>Sulfamethoxazole &amp; Trimethoprim</v>
      </c>
      <c r="H56" s="179"/>
    </row>
    <row r="57" spans="1:12" ht="18.75" x14ac:dyDescent="0.3">
      <c r="A57" s="176" t="s">
        <v>88</v>
      </c>
      <c r="B57" s="247">
        <f>Uniformity!C46</f>
        <v>1042.7919999999999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19" t="s">
        <v>94</v>
      </c>
      <c r="D60" s="522">
        <v>1038.69</v>
      </c>
      <c r="E60" s="182">
        <v>1</v>
      </c>
      <c r="F60" s="183">
        <v>35216220</v>
      </c>
      <c r="G60" s="248">
        <f>IF(ISBLANK(F60),"-",(F60/$D$50*$D$47*$B$68)*($B$57/$D$60))</f>
        <v>789.07595766515033</v>
      </c>
      <c r="H60" s="266">
        <f t="shared" ref="H60:H71" si="0">IF(ISBLANK(F60),"-",(G60/$B$56)*100)</f>
        <v>98.634494708143791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20"/>
      <c r="D61" s="523"/>
      <c r="E61" s="184">
        <v>2</v>
      </c>
      <c r="F61" s="137">
        <v>35026701</v>
      </c>
      <c r="G61" s="249">
        <f>IF(ISBLANK(F61),"-",(F61/$D$50*$D$47*$B$68)*($B$57/$D$60))</f>
        <v>784.82948014937074</v>
      </c>
      <c r="H61" s="267">
        <f t="shared" si="0"/>
        <v>98.103685018671342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20"/>
      <c r="D62" s="523"/>
      <c r="E62" s="184">
        <v>3</v>
      </c>
      <c r="F62" s="185">
        <v>35169834</v>
      </c>
      <c r="G62" s="249">
        <f>IF(ISBLANK(F62),"-",(F62/$D$50*$D$47*$B$68)*($B$57/$D$60))</f>
        <v>788.0366048506728</v>
      </c>
      <c r="H62" s="267">
        <f t="shared" si="0"/>
        <v>98.5045756063341</v>
      </c>
      <c r="L62" s="112"/>
    </row>
    <row r="63" spans="1:12" ht="27" customHeight="1" x14ac:dyDescent="0.4">
      <c r="A63" s="124" t="s">
        <v>97</v>
      </c>
      <c r="B63" s="125">
        <v>1</v>
      </c>
      <c r="C63" s="521"/>
      <c r="D63" s="5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19" t="s">
        <v>99</v>
      </c>
      <c r="D64" s="522">
        <v>1038.18</v>
      </c>
      <c r="E64" s="182">
        <v>1</v>
      </c>
      <c r="F64" s="183">
        <v>36295297</v>
      </c>
      <c r="G64" s="248">
        <f>IF(ISBLANK(F64),"-",(F64/$D$50*$D$47*$B$68)*($B$57/$D$64))</f>
        <v>813.653917169588</v>
      </c>
      <c r="H64" s="266">
        <f t="shared" si="0"/>
        <v>101.7067396461985</v>
      </c>
    </row>
    <row r="65" spans="1:8" ht="26.25" customHeight="1" x14ac:dyDescent="0.4">
      <c r="A65" s="124" t="s">
        <v>100</v>
      </c>
      <c r="B65" s="125">
        <v>1</v>
      </c>
      <c r="C65" s="520"/>
      <c r="D65" s="523"/>
      <c r="E65" s="184">
        <v>2</v>
      </c>
      <c r="F65" s="137">
        <v>36007397</v>
      </c>
      <c r="G65" s="249">
        <f>IF(ISBLANK(F65),"-",(F65/$D$50*$D$47*$B$68)*($B$57/$D$64))</f>
        <v>807.19988642414137</v>
      </c>
      <c r="H65" s="267">
        <f t="shared" si="0"/>
        <v>100.89998580301767</v>
      </c>
    </row>
    <row r="66" spans="1:8" ht="26.25" customHeight="1" x14ac:dyDescent="0.4">
      <c r="A66" s="124" t="s">
        <v>101</v>
      </c>
      <c r="B66" s="125">
        <v>1</v>
      </c>
      <c r="C66" s="520"/>
      <c r="D66" s="523"/>
      <c r="E66" s="184">
        <v>3</v>
      </c>
      <c r="F66" s="137">
        <v>36219906</v>
      </c>
      <c r="G66" s="249">
        <f>IF(ISBLANK(F66),"-",(F66/$D$50*$D$47*$B$68)*($B$57/$D$64))</f>
        <v>811.96383091766052</v>
      </c>
      <c r="H66" s="267">
        <f t="shared" si="0"/>
        <v>101.49547886470755</v>
      </c>
    </row>
    <row r="67" spans="1:8" ht="27" customHeight="1" x14ac:dyDescent="0.4">
      <c r="A67" s="124" t="s">
        <v>102</v>
      </c>
      <c r="B67" s="125">
        <v>1</v>
      </c>
      <c r="C67" s="521"/>
      <c r="D67" s="5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519" t="s">
        <v>104</v>
      </c>
      <c r="D68" s="522">
        <v>1046.6500000000001</v>
      </c>
      <c r="E68" s="182">
        <v>1</v>
      </c>
      <c r="F68" s="183">
        <v>36673776</v>
      </c>
      <c r="G68" s="248">
        <f>IF(ISBLANK(F68),"-",(F68/$D$50*$D$47*$B$68)*($B$57/$D$68))</f>
        <v>815.48536883644522</v>
      </c>
      <c r="H68" s="267">
        <f t="shared" si="0"/>
        <v>101.93567110455565</v>
      </c>
    </row>
    <row r="69" spans="1:8" ht="27" customHeight="1" x14ac:dyDescent="0.4">
      <c r="A69" s="172" t="s">
        <v>105</v>
      </c>
      <c r="B69" s="189">
        <f>(D47*B68)/B56*B57</f>
        <v>1042.7919999999999</v>
      </c>
      <c r="C69" s="520"/>
      <c r="D69" s="523"/>
      <c r="E69" s="184">
        <v>2</v>
      </c>
      <c r="F69" s="137">
        <v>36345932</v>
      </c>
      <c r="G69" s="249">
        <f>IF(ISBLANK(F69),"-",(F69/$D$50*$D$47*$B$68)*($B$57/$D$68))</f>
        <v>808.19536452216869</v>
      </c>
      <c r="H69" s="267">
        <f t="shared" si="0"/>
        <v>101.02442056527107</v>
      </c>
    </row>
    <row r="70" spans="1:8" ht="26.25" customHeight="1" x14ac:dyDescent="0.4">
      <c r="A70" s="532" t="s">
        <v>78</v>
      </c>
      <c r="B70" s="533"/>
      <c r="C70" s="520"/>
      <c r="D70" s="523"/>
      <c r="E70" s="184">
        <v>3</v>
      </c>
      <c r="F70" s="137">
        <v>36951873</v>
      </c>
      <c r="G70" s="249">
        <f>IF(ISBLANK(F70),"-",(F70/$D$50*$D$47*$B$68)*($B$57/$D$68))</f>
        <v>821.66918897586311</v>
      </c>
      <c r="H70" s="267">
        <f t="shared" si="0"/>
        <v>102.70864862198287</v>
      </c>
    </row>
    <row r="71" spans="1:8" ht="27" customHeight="1" x14ac:dyDescent="0.4">
      <c r="A71" s="534"/>
      <c r="B71" s="535"/>
      <c r="C71" s="531"/>
      <c r="D71" s="5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804.4566221678956</v>
      </c>
      <c r="H72" s="269">
        <f>AVERAGE(H60:H71)</f>
        <v>100.55707777098695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1.6860541269064801E-2</v>
      </c>
      <c r="H73" s="253">
        <f>STDEV(H60:H71)/H72</f>
        <v>1.6860541269064763E-2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527" t="str">
        <f>B26</f>
        <v>Sulfamethoxazole</v>
      </c>
      <c r="D76" s="527"/>
      <c r="E76" s="198" t="s">
        <v>108</v>
      </c>
      <c r="F76" s="198"/>
      <c r="G76" s="285">
        <f>H72</f>
        <v>100.55707777098695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13" t="str">
        <f>B26</f>
        <v>Sulfamethoxazole</v>
      </c>
      <c r="C79" s="513"/>
    </row>
    <row r="80" spans="1:8" ht="26.25" customHeight="1" x14ac:dyDescent="0.4">
      <c r="A80" s="109" t="s">
        <v>48</v>
      </c>
      <c r="B80" s="513" t="str">
        <f>B27</f>
        <v>S12-6</v>
      </c>
      <c r="C80" s="513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504" t="s">
        <v>50</v>
      </c>
      <c r="D82" s="505"/>
      <c r="E82" s="505"/>
      <c r="F82" s="505"/>
      <c r="G82" s="5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07" t="s">
        <v>111</v>
      </c>
      <c r="D84" s="508"/>
      <c r="E84" s="508"/>
      <c r="F84" s="508"/>
      <c r="G84" s="508"/>
      <c r="H84" s="5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07" t="s">
        <v>112</v>
      </c>
      <c r="D85" s="508"/>
      <c r="E85" s="508"/>
      <c r="F85" s="508"/>
      <c r="G85" s="508"/>
      <c r="H85" s="5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510" t="s">
        <v>60</v>
      </c>
      <c r="G89" s="512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36417509</v>
      </c>
      <c r="E91" s="133">
        <f>IF(ISBLANK(D91),"-",$D$101/$D$98*D91)</f>
        <v>40014070.709490485</v>
      </c>
      <c r="F91" s="132">
        <v>39420372</v>
      </c>
      <c r="G91" s="134">
        <f>IF(ISBLANK(F91),"-",$D$101/$F$98*F91)</f>
        <v>39671664.222685769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36505778</v>
      </c>
      <c r="E92" s="138">
        <f>IF(ISBLANK(D92),"-",$D$101/$D$98*D92)</f>
        <v>40111057.079630628</v>
      </c>
      <c r="F92" s="137">
        <v>39692350</v>
      </c>
      <c r="G92" s="139">
        <f>IF(ISBLANK(F92),"-",$D$101/$F$98*F92)</f>
        <v>39945375.99516619</v>
      </c>
      <c r="I92" s="514">
        <f>ABS((F96/D96*D95)-F95)/D95</f>
        <v>1.1035221657603674E-2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36372206</v>
      </c>
      <c r="E93" s="138">
        <f>IF(ISBLANK(D93),"-",$D$101/$D$98*D93)</f>
        <v>39964293.624370463</v>
      </c>
      <c r="F93" s="137">
        <v>39009917</v>
      </c>
      <c r="G93" s="139">
        <f>IF(ISBLANK(F93),"-",$D$101/$F$98*F93)</f>
        <v>39258592.703763455</v>
      </c>
      <c r="I93" s="51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36431831</v>
      </c>
      <c r="E95" s="148">
        <f>AVERAGE(E91:E94)</f>
        <v>40029807.137830526</v>
      </c>
      <c r="F95" s="211">
        <f>AVERAGE(F91:F94)</f>
        <v>39374213</v>
      </c>
      <c r="G95" s="212">
        <f>AVERAGE(G91:G94)</f>
        <v>39625210.973871805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16.34</v>
      </c>
      <c r="E96" s="140"/>
      <c r="F96" s="152">
        <v>17.84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16.34</v>
      </c>
      <c r="E97" s="155"/>
      <c r="F97" s="154">
        <f>F96*$B$87</f>
        <v>17.84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16.179867999999999</v>
      </c>
      <c r="E98" s="158"/>
      <c r="F98" s="157">
        <f>F97*$B$83/100</f>
        <v>17.665167999999998</v>
      </c>
    </row>
    <row r="99" spans="1:10" ht="19.5" customHeight="1" x14ac:dyDescent="0.3">
      <c r="A99" s="515" t="s">
        <v>78</v>
      </c>
      <c r="B99" s="529"/>
      <c r="C99" s="215" t="s">
        <v>116</v>
      </c>
      <c r="D99" s="219">
        <f>D98/$B$98</f>
        <v>0.16179868</v>
      </c>
      <c r="E99" s="158"/>
      <c r="F99" s="161">
        <f>F98/$B$98</f>
        <v>0.17665167999999998</v>
      </c>
      <c r="G99" s="220"/>
      <c r="H99" s="150"/>
    </row>
    <row r="100" spans="1:10" ht="19.5" customHeight="1" x14ac:dyDescent="0.3">
      <c r="A100" s="517"/>
      <c r="B100" s="530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39827509.055851169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7.9062026518410752E-3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10</v>
      </c>
      <c r="C108" s="275">
        <v>1</v>
      </c>
      <c r="D108" s="276">
        <v>33446048</v>
      </c>
      <c r="E108" s="250">
        <f t="shared" ref="E108:E113" si="1">IF(ISBLANK(D108),"-",D108/$D$103*$D$100*$B$116)</f>
        <v>671.81802312763716</v>
      </c>
      <c r="F108" s="277">
        <f t="shared" ref="F108:F113" si="2">IF(ISBLANK(D108), "-", (E108/$B$56)*100)</f>
        <v>83.977252890954645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>
        <v>33207937</v>
      </c>
      <c r="E109" s="251">
        <f t="shared" si="1"/>
        <v>667.03517819166916</v>
      </c>
      <c r="F109" s="278">
        <f t="shared" si="2"/>
        <v>83.379397273958645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32984957</v>
      </c>
      <c r="E110" s="251">
        <f t="shared" si="1"/>
        <v>662.55626388774294</v>
      </c>
      <c r="F110" s="278">
        <f t="shared" si="2"/>
        <v>82.819532985967868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33148896</v>
      </c>
      <c r="E111" s="251">
        <f t="shared" si="1"/>
        <v>665.84924411947384</v>
      </c>
      <c r="F111" s="278">
        <f t="shared" si="2"/>
        <v>83.23115551493423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32997265</v>
      </c>
      <c r="E112" s="251">
        <f t="shared" si="1"/>
        <v>662.8034899943566</v>
      </c>
      <c r="F112" s="278">
        <f t="shared" si="2"/>
        <v>82.850436249294575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33175506</v>
      </c>
      <c r="E113" s="252">
        <f t="shared" si="1"/>
        <v>666.38374905098112</v>
      </c>
      <c r="F113" s="279">
        <f t="shared" si="2"/>
        <v>83.29796863137264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666.07432472864355</v>
      </c>
      <c r="F115" s="281">
        <f>AVERAGE(F108:F113)</f>
        <v>83.259290591080443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5.0750784999914408E-3</v>
      </c>
      <c r="F116" s="235">
        <f>STDEV(F108:F113)/F115</f>
        <v>5.0750784999914408E-3</v>
      </c>
      <c r="I116" s="98"/>
    </row>
    <row r="117" spans="1:10" ht="27" customHeight="1" x14ac:dyDescent="0.4">
      <c r="A117" s="515" t="s">
        <v>78</v>
      </c>
      <c r="B117" s="51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17"/>
      <c r="B118" s="518"/>
      <c r="C118" s="98"/>
      <c r="D118" s="260"/>
      <c r="E118" s="493" t="s">
        <v>123</v>
      </c>
      <c r="F118" s="494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662.55626388774294</v>
      </c>
      <c r="F119" s="282">
        <f>MIN(F108:F113)</f>
        <v>82.819532985967868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671.81802312763716</v>
      </c>
      <c r="F120" s="283">
        <f>MAX(F108:F113)</f>
        <v>83.977252890954645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27" t="str">
        <f>B26</f>
        <v>Sulfamethoxazole</v>
      </c>
      <c r="D124" s="527"/>
      <c r="E124" s="198" t="s">
        <v>127</v>
      </c>
      <c r="F124" s="198"/>
      <c r="G124" s="284">
        <f>F115</f>
        <v>83.259290591080443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82.819532985967868</v>
      </c>
      <c r="E125" s="209" t="s">
        <v>130</v>
      </c>
      <c r="F125" s="284">
        <f>MAX(F108:F113)</f>
        <v>83.977252890954645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28" t="s">
        <v>26</v>
      </c>
      <c r="C127" s="528"/>
      <c r="E127" s="204" t="s">
        <v>27</v>
      </c>
      <c r="F127" s="239"/>
      <c r="G127" s="528" t="s">
        <v>28</v>
      </c>
      <c r="H127" s="52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3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5" t="s">
        <v>45</v>
      </c>
      <c r="B1" s="525"/>
      <c r="C1" s="525"/>
      <c r="D1" s="525"/>
      <c r="E1" s="525"/>
      <c r="F1" s="525"/>
      <c r="G1" s="525"/>
      <c r="H1" s="525"/>
      <c r="I1" s="525"/>
    </row>
    <row r="2" spans="1:9" ht="18.75" customHeight="1" x14ac:dyDescent="0.25">
      <c r="A2" s="525"/>
      <c r="B2" s="525"/>
      <c r="C2" s="525"/>
      <c r="D2" s="525"/>
      <c r="E2" s="525"/>
      <c r="F2" s="525"/>
      <c r="G2" s="525"/>
      <c r="H2" s="525"/>
      <c r="I2" s="525"/>
    </row>
    <row r="3" spans="1:9" ht="18.75" customHeight="1" x14ac:dyDescent="0.25">
      <c r="A3" s="525"/>
      <c r="B3" s="525"/>
      <c r="C3" s="525"/>
      <c r="D3" s="525"/>
      <c r="E3" s="525"/>
      <c r="F3" s="525"/>
      <c r="G3" s="525"/>
      <c r="H3" s="525"/>
      <c r="I3" s="525"/>
    </row>
    <row r="4" spans="1:9" ht="18.75" customHeight="1" x14ac:dyDescent="0.25">
      <c r="A4" s="525"/>
      <c r="B4" s="525"/>
      <c r="C4" s="525"/>
      <c r="D4" s="525"/>
      <c r="E4" s="525"/>
      <c r="F4" s="525"/>
      <c r="G4" s="525"/>
      <c r="H4" s="525"/>
      <c r="I4" s="525"/>
    </row>
    <row r="5" spans="1:9" ht="18.75" customHeight="1" x14ac:dyDescent="0.25">
      <c r="A5" s="525"/>
      <c r="B5" s="525"/>
      <c r="C5" s="525"/>
      <c r="D5" s="525"/>
      <c r="E5" s="525"/>
      <c r="F5" s="525"/>
      <c r="G5" s="525"/>
      <c r="H5" s="525"/>
      <c r="I5" s="525"/>
    </row>
    <row r="6" spans="1:9" ht="18.75" customHeight="1" x14ac:dyDescent="0.25">
      <c r="A6" s="525"/>
      <c r="B6" s="525"/>
      <c r="C6" s="525"/>
      <c r="D6" s="525"/>
      <c r="E6" s="525"/>
      <c r="F6" s="525"/>
      <c r="G6" s="525"/>
      <c r="H6" s="525"/>
      <c r="I6" s="525"/>
    </row>
    <row r="7" spans="1:9" ht="18.75" customHeight="1" x14ac:dyDescent="0.25">
      <c r="A7" s="525"/>
      <c r="B7" s="525"/>
      <c r="C7" s="525"/>
      <c r="D7" s="525"/>
      <c r="E7" s="525"/>
      <c r="F7" s="525"/>
      <c r="G7" s="525"/>
      <c r="H7" s="525"/>
      <c r="I7" s="525"/>
    </row>
    <row r="8" spans="1:9" x14ac:dyDescent="0.25">
      <c r="A8" s="526" t="s">
        <v>46</v>
      </c>
      <c r="B8" s="526"/>
      <c r="C8" s="526"/>
      <c r="D8" s="526"/>
      <c r="E8" s="526"/>
      <c r="F8" s="526"/>
      <c r="G8" s="526"/>
      <c r="H8" s="526"/>
      <c r="I8" s="526"/>
    </row>
    <row r="9" spans="1:9" x14ac:dyDescent="0.25">
      <c r="A9" s="526"/>
      <c r="B9" s="526"/>
      <c r="C9" s="526"/>
      <c r="D9" s="526"/>
      <c r="E9" s="526"/>
      <c r="F9" s="526"/>
      <c r="G9" s="526"/>
      <c r="H9" s="526"/>
      <c r="I9" s="526"/>
    </row>
    <row r="10" spans="1:9" x14ac:dyDescent="0.25">
      <c r="A10" s="526"/>
      <c r="B10" s="526"/>
      <c r="C10" s="526"/>
      <c r="D10" s="526"/>
      <c r="E10" s="526"/>
      <c r="F10" s="526"/>
      <c r="G10" s="526"/>
      <c r="H10" s="526"/>
      <c r="I10" s="526"/>
    </row>
    <row r="11" spans="1:9" x14ac:dyDescent="0.25">
      <c r="A11" s="526"/>
      <c r="B11" s="526"/>
      <c r="C11" s="526"/>
      <c r="D11" s="526"/>
      <c r="E11" s="526"/>
      <c r="F11" s="526"/>
      <c r="G11" s="526"/>
      <c r="H11" s="526"/>
      <c r="I11" s="526"/>
    </row>
    <row r="12" spans="1:9" x14ac:dyDescent="0.25">
      <c r="A12" s="526"/>
      <c r="B12" s="526"/>
      <c r="C12" s="526"/>
      <c r="D12" s="526"/>
      <c r="E12" s="526"/>
      <c r="F12" s="526"/>
      <c r="G12" s="526"/>
      <c r="H12" s="526"/>
      <c r="I12" s="526"/>
    </row>
    <row r="13" spans="1:9" x14ac:dyDescent="0.25">
      <c r="A13" s="526"/>
      <c r="B13" s="526"/>
      <c r="C13" s="526"/>
      <c r="D13" s="526"/>
      <c r="E13" s="526"/>
      <c r="F13" s="526"/>
      <c r="G13" s="526"/>
      <c r="H13" s="526"/>
      <c r="I13" s="526"/>
    </row>
    <row r="14" spans="1:9" x14ac:dyDescent="0.25">
      <c r="A14" s="526"/>
      <c r="B14" s="526"/>
      <c r="C14" s="526"/>
      <c r="D14" s="526"/>
      <c r="E14" s="526"/>
      <c r="F14" s="526"/>
      <c r="G14" s="526"/>
      <c r="H14" s="526"/>
      <c r="I14" s="526"/>
    </row>
    <row r="15" spans="1:9" ht="19.5" customHeight="1" x14ac:dyDescent="0.3">
      <c r="A15" s="286"/>
    </row>
    <row r="16" spans="1:9" ht="19.5" customHeight="1" x14ac:dyDescent="0.3">
      <c r="A16" s="497" t="s">
        <v>31</v>
      </c>
      <c r="B16" s="498"/>
      <c r="C16" s="498"/>
      <c r="D16" s="498"/>
      <c r="E16" s="498"/>
      <c r="F16" s="498"/>
      <c r="G16" s="498"/>
      <c r="H16" s="499"/>
    </row>
    <row r="17" spans="1:14" ht="20.25" customHeight="1" x14ac:dyDescent="0.25">
      <c r="A17" s="500" t="s">
        <v>47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288" t="s">
        <v>33</v>
      </c>
      <c r="B18" s="496" t="s">
        <v>5</v>
      </c>
      <c r="C18" s="496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01" t="s">
        <v>9</v>
      </c>
      <c r="C20" s="501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01" t="s">
        <v>11</v>
      </c>
      <c r="C21" s="501"/>
      <c r="D21" s="501"/>
      <c r="E21" s="501"/>
      <c r="F21" s="501"/>
      <c r="G21" s="501"/>
      <c r="H21" s="501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495" t="s">
        <v>133</v>
      </c>
      <c r="C26" s="496"/>
    </row>
    <row r="27" spans="1:14" ht="26.25" customHeight="1" x14ac:dyDescent="0.4">
      <c r="A27" s="297" t="s">
        <v>48</v>
      </c>
      <c r="B27" s="502" t="s">
        <v>134</v>
      </c>
      <c r="C27" s="503"/>
    </row>
    <row r="28" spans="1:14" ht="27" customHeight="1" x14ac:dyDescent="0.4">
      <c r="A28" s="297" t="s">
        <v>6</v>
      </c>
      <c r="B28" s="298">
        <v>99.3</v>
      </c>
    </row>
    <row r="29" spans="1:14" s="14" customFormat="1" ht="27" customHeight="1" x14ac:dyDescent="0.4">
      <c r="A29" s="297" t="s">
        <v>49</v>
      </c>
      <c r="B29" s="299">
        <v>0</v>
      </c>
      <c r="C29" s="504" t="s">
        <v>50</v>
      </c>
      <c r="D29" s="505"/>
      <c r="E29" s="505"/>
      <c r="F29" s="505"/>
      <c r="G29" s="506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99.3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507" t="s">
        <v>53</v>
      </c>
      <c r="D31" s="508"/>
      <c r="E31" s="508"/>
      <c r="F31" s="508"/>
      <c r="G31" s="508"/>
      <c r="H31" s="509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507" t="s">
        <v>55</v>
      </c>
      <c r="D32" s="508"/>
      <c r="E32" s="508"/>
      <c r="F32" s="508"/>
      <c r="G32" s="508"/>
      <c r="H32" s="509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510" t="s">
        <v>59</v>
      </c>
      <c r="E36" s="511"/>
      <c r="F36" s="510" t="s">
        <v>60</v>
      </c>
      <c r="G36" s="512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100</v>
      </c>
      <c r="C38" s="319">
        <v>1</v>
      </c>
      <c r="D38" s="320">
        <v>2557982</v>
      </c>
      <c r="E38" s="321">
        <f>IF(ISBLANK(D38),"-",$D$48/$D$45*D38)</f>
        <v>2461551.9337705076</v>
      </c>
      <c r="F38" s="320">
        <v>2243046</v>
      </c>
      <c r="G38" s="322">
        <f>IF(ISBLANK(F38),"-",$D$48/$F$45*F38)</f>
        <v>2504277.168561304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2564186</v>
      </c>
      <c r="E39" s="326">
        <f>IF(ISBLANK(D39),"-",$D$48/$D$45*D39)</f>
        <v>2467522.057171342</v>
      </c>
      <c r="F39" s="325">
        <v>2257133</v>
      </c>
      <c r="G39" s="327">
        <f>IF(ISBLANK(F39),"-",$D$48/$F$45*F39)</f>
        <v>2520004.7784603089</v>
      </c>
      <c r="I39" s="514">
        <f>ABS((F43/D43*D42)-F42)/D42</f>
        <v>1.3681834278676039E-2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2551822</v>
      </c>
      <c r="E40" s="326">
        <f>IF(ISBLANK(D40),"-",$D$48/$D$45*D40)</f>
        <v>2455624.1516703889</v>
      </c>
      <c r="F40" s="325">
        <v>2219186</v>
      </c>
      <c r="G40" s="327">
        <f>IF(ISBLANK(F40),"-",$D$48/$F$45*F40)</f>
        <v>2477638.368803353</v>
      </c>
      <c r="I40" s="514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2557996.6666666665</v>
      </c>
      <c r="E42" s="336">
        <f>AVERAGE(E38:E41)</f>
        <v>2461566.047537413</v>
      </c>
      <c r="F42" s="335">
        <f>AVERAGE(F38:F41)</f>
        <v>2239788.3333333335</v>
      </c>
      <c r="G42" s="337">
        <f>AVERAGE(G38:G41)</f>
        <v>2500640.1052749888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20.93</v>
      </c>
      <c r="E43" s="328"/>
      <c r="F43" s="340">
        <v>18.04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20.93</v>
      </c>
      <c r="E44" s="343"/>
      <c r="F44" s="342">
        <f>F43*$B$34</f>
        <v>18.04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20.783489999999997</v>
      </c>
      <c r="E45" s="346"/>
      <c r="F45" s="345">
        <f>F44*$B$30/100</f>
        <v>17.913719999999998</v>
      </c>
      <c r="H45" s="338"/>
    </row>
    <row r="46" spans="1:14" ht="19.5" customHeight="1" x14ac:dyDescent="0.3">
      <c r="A46" s="515" t="s">
        <v>78</v>
      </c>
      <c r="B46" s="516"/>
      <c r="C46" s="341" t="s">
        <v>79</v>
      </c>
      <c r="D46" s="347">
        <f>D45/$B$45</f>
        <v>3.3253583999999996E-2</v>
      </c>
      <c r="E46" s="348"/>
      <c r="F46" s="349">
        <f>F45/$B$45</f>
        <v>2.8661951999999997E-2</v>
      </c>
      <c r="H46" s="338"/>
    </row>
    <row r="47" spans="1:14" ht="27" customHeight="1" x14ac:dyDescent="0.4">
      <c r="A47" s="517"/>
      <c r="B47" s="518"/>
      <c r="C47" s="350" t="s">
        <v>80</v>
      </c>
      <c r="D47" s="351">
        <v>3.2000000000000001E-2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2481103.0764062009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1.0320277150798279E-2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tablet contains: Sulphamethoxazole B.P. 800 mg and Trimethoprim B.P. 160 mg.</v>
      </c>
    </row>
    <row r="56" spans="1:12" ht="26.25" customHeight="1" x14ac:dyDescent="0.4">
      <c r="A56" s="365" t="s">
        <v>87</v>
      </c>
      <c r="B56" s="366">
        <v>160</v>
      </c>
      <c r="C56" s="287" t="str">
        <f>B20</f>
        <v>Sulfamethoxazole &amp; Trimethoprim</v>
      </c>
      <c r="H56" s="367"/>
    </row>
    <row r="57" spans="1:12" ht="18.75" x14ac:dyDescent="0.3">
      <c r="A57" s="364" t="s">
        <v>88</v>
      </c>
      <c r="B57" s="435">
        <f>Uniformity!C46</f>
        <v>1042.7919999999999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2</v>
      </c>
      <c r="C60" s="519" t="s">
        <v>94</v>
      </c>
      <c r="D60" s="522">
        <f>Sulfamethoxazole!D60</f>
        <v>1038.69</v>
      </c>
      <c r="E60" s="370">
        <v>1</v>
      </c>
      <c r="F60" s="371">
        <v>2464478</v>
      </c>
      <c r="G60" s="436">
        <f>IF(ISBLANK(F60),"-",(F60/$D$50*$D$47*$B$68)*($B$57/$D$60))</f>
        <v>159.55553014990488</v>
      </c>
      <c r="H60" s="454">
        <f t="shared" ref="H60:H71" si="0">IF(ISBLANK(F60),"-",(G60/$B$56)*100)</f>
        <v>99.722206343690559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520"/>
      <c r="D61" s="523"/>
      <c r="E61" s="372">
        <v>2</v>
      </c>
      <c r="F61" s="325">
        <v>2453706</v>
      </c>
      <c r="G61" s="437">
        <f>IF(ISBLANK(F61),"-",(F61/$D$50*$D$47*$B$68)*($B$57/$D$60))</f>
        <v>158.85812803441641</v>
      </c>
      <c r="H61" s="455">
        <f t="shared" si="0"/>
        <v>99.286330021510267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20"/>
      <c r="D62" s="523"/>
      <c r="E62" s="372">
        <v>3</v>
      </c>
      <c r="F62" s="373">
        <v>2465993</v>
      </c>
      <c r="G62" s="437">
        <f>IF(ISBLANK(F62),"-",(F62/$D$50*$D$47*$B$68)*($B$57/$D$60))</f>
        <v>159.65361446154293</v>
      </c>
      <c r="H62" s="455">
        <f t="shared" si="0"/>
        <v>99.783509038464331</v>
      </c>
      <c r="L62" s="300"/>
    </row>
    <row r="63" spans="1:12" ht="27" customHeight="1" x14ac:dyDescent="0.4">
      <c r="A63" s="312" t="s">
        <v>97</v>
      </c>
      <c r="B63" s="313">
        <v>1</v>
      </c>
      <c r="C63" s="521"/>
      <c r="D63" s="524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19" t="s">
        <v>99</v>
      </c>
      <c r="D64" s="522">
        <f>Sulfamethoxazole!D64</f>
        <v>1038.18</v>
      </c>
      <c r="E64" s="370">
        <v>1</v>
      </c>
      <c r="F64" s="371">
        <v>2529678</v>
      </c>
      <c r="G64" s="436">
        <f>IF(ISBLANK(F64),"-",(F64/$D$50*$D$47*$B$68)*($B$57/$D$64))</f>
        <v>163.85717074415962</v>
      </c>
      <c r="H64" s="454">
        <f t="shared" si="0"/>
        <v>102.41073171509976</v>
      </c>
    </row>
    <row r="65" spans="1:8" ht="26.25" customHeight="1" x14ac:dyDescent="0.4">
      <c r="A65" s="312" t="s">
        <v>100</v>
      </c>
      <c r="B65" s="313">
        <v>1</v>
      </c>
      <c r="C65" s="520"/>
      <c r="D65" s="523"/>
      <c r="E65" s="372">
        <v>2</v>
      </c>
      <c r="F65" s="325">
        <v>2511206</v>
      </c>
      <c r="G65" s="437">
        <f>IF(ISBLANK(F65),"-",(F65/$D$50*$D$47*$B$68)*($B$57/$D$64))</f>
        <v>162.66066681836901</v>
      </c>
      <c r="H65" s="455">
        <f t="shared" si="0"/>
        <v>101.66291676148063</v>
      </c>
    </row>
    <row r="66" spans="1:8" ht="26.25" customHeight="1" x14ac:dyDescent="0.4">
      <c r="A66" s="312" t="s">
        <v>101</v>
      </c>
      <c r="B66" s="313">
        <v>1</v>
      </c>
      <c r="C66" s="520"/>
      <c r="D66" s="523"/>
      <c r="E66" s="372">
        <v>3</v>
      </c>
      <c r="F66" s="325">
        <v>2528587</v>
      </c>
      <c r="G66" s="437">
        <f>IF(ISBLANK(F66),"-",(F66/$D$50*$D$47*$B$68)*($B$57/$D$64))</f>
        <v>163.78650239297741</v>
      </c>
      <c r="H66" s="455">
        <f t="shared" si="0"/>
        <v>102.36656399561087</v>
      </c>
    </row>
    <row r="67" spans="1:8" ht="27" customHeight="1" x14ac:dyDescent="0.4">
      <c r="A67" s="312" t="s">
        <v>102</v>
      </c>
      <c r="B67" s="313">
        <v>1</v>
      </c>
      <c r="C67" s="521"/>
      <c r="D67" s="524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5000</v>
      </c>
      <c r="C68" s="519" t="s">
        <v>104</v>
      </c>
      <c r="D68" s="522">
        <f>Sulfamethoxazole!D68</f>
        <v>1046.6500000000001</v>
      </c>
      <c r="E68" s="370">
        <v>1</v>
      </c>
      <c r="F68" s="371">
        <v>2541758</v>
      </c>
      <c r="G68" s="436">
        <f>IF(ISBLANK(F68),"-",(F68/$D$50*$D$47*$B$68)*($B$57/$D$68))</f>
        <v>163.30729584169853</v>
      </c>
      <c r="H68" s="455">
        <f t="shared" si="0"/>
        <v>102.06705990106157</v>
      </c>
    </row>
    <row r="69" spans="1:8" ht="27" customHeight="1" x14ac:dyDescent="0.4">
      <c r="A69" s="360" t="s">
        <v>105</v>
      </c>
      <c r="B69" s="377">
        <f>(D47*B68)/B56*B57</f>
        <v>1042.7919999999999</v>
      </c>
      <c r="C69" s="520"/>
      <c r="D69" s="523"/>
      <c r="E69" s="372">
        <v>2</v>
      </c>
      <c r="F69" s="325">
        <v>2522095</v>
      </c>
      <c r="G69" s="437">
        <f>IF(ISBLANK(F69),"-",(F69/$D$50*$D$47*$B$68)*($B$57/$D$68))</f>
        <v>162.04395316386086</v>
      </c>
      <c r="H69" s="455">
        <f t="shared" si="0"/>
        <v>101.27747072741305</v>
      </c>
    </row>
    <row r="70" spans="1:8" ht="26.25" customHeight="1" x14ac:dyDescent="0.4">
      <c r="A70" s="532" t="s">
        <v>78</v>
      </c>
      <c r="B70" s="533"/>
      <c r="C70" s="520"/>
      <c r="D70" s="523"/>
      <c r="E70" s="372">
        <v>3</v>
      </c>
      <c r="F70" s="325">
        <v>2567610</v>
      </c>
      <c r="G70" s="437">
        <f>IF(ISBLANK(F70),"-",(F70/$D$50*$D$47*$B$68)*($B$57/$D$68))</f>
        <v>164.96828017305484</v>
      </c>
      <c r="H70" s="455">
        <f t="shared" si="0"/>
        <v>103.10517510815926</v>
      </c>
    </row>
    <row r="71" spans="1:8" ht="27" customHeight="1" x14ac:dyDescent="0.4">
      <c r="A71" s="534"/>
      <c r="B71" s="535"/>
      <c r="C71" s="531"/>
      <c r="D71" s="524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162.07679353110939</v>
      </c>
      <c r="H72" s="457">
        <f>AVERAGE(H60:H71)</f>
        <v>101.29799595694338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1.3604983518357445E-2</v>
      </c>
      <c r="H73" s="441">
        <f>STDEV(H60:H71)/H72</f>
        <v>1.360498351835737E-2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527" t="str">
        <f>B26</f>
        <v>Trimethoprim</v>
      </c>
      <c r="D76" s="527"/>
      <c r="E76" s="386" t="s">
        <v>108</v>
      </c>
      <c r="F76" s="386"/>
      <c r="G76" s="473">
        <f>H72</f>
        <v>101.29799595694338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13" t="str">
        <f>B26</f>
        <v>Trimethoprim</v>
      </c>
      <c r="C79" s="513"/>
    </row>
    <row r="80" spans="1:8" ht="26.25" customHeight="1" x14ac:dyDescent="0.4">
      <c r="A80" s="297" t="s">
        <v>48</v>
      </c>
      <c r="B80" s="513" t="str">
        <f>B27</f>
        <v>T7-4</v>
      </c>
      <c r="C80" s="513"/>
    </row>
    <row r="81" spans="1:12" ht="27" customHeight="1" x14ac:dyDescent="0.4">
      <c r="A81" s="297" t="s">
        <v>6</v>
      </c>
      <c r="B81" s="389">
        <f>B28</f>
        <v>99.3</v>
      </c>
    </row>
    <row r="82" spans="1:12" s="14" customFormat="1" ht="27" customHeight="1" x14ac:dyDescent="0.4">
      <c r="A82" s="297" t="s">
        <v>49</v>
      </c>
      <c r="B82" s="299">
        <v>0</v>
      </c>
      <c r="C82" s="504" t="s">
        <v>50</v>
      </c>
      <c r="D82" s="505"/>
      <c r="E82" s="505"/>
      <c r="F82" s="505"/>
      <c r="G82" s="506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99.3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507" t="s">
        <v>111</v>
      </c>
      <c r="D84" s="508"/>
      <c r="E84" s="508"/>
      <c r="F84" s="508"/>
      <c r="G84" s="508"/>
      <c r="H84" s="509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507" t="s">
        <v>112</v>
      </c>
      <c r="D85" s="508"/>
      <c r="E85" s="508"/>
      <c r="F85" s="508"/>
      <c r="G85" s="508"/>
      <c r="H85" s="509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25</v>
      </c>
      <c r="D89" s="390" t="s">
        <v>59</v>
      </c>
      <c r="E89" s="391"/>
      <c r="F89" s="510" t="s">
        <v>60</v>
      </c>
      <c r="G89" s="512"/>
    </row>
    <row r="90" spans="1:12" ht="27" customHeight="1" x14ac:dyDescent="0.4">
      <c r="A90" s="312" t="s">
        <v>61</v>
      </c>
      <c r="B90" s="313">
        <v>4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100</v>
      </c>
      <c r="C91" s="394">
        <v>1</v>
      </c>
      <c r="D91" s="320">
        <v>2557982</v>
      </c>
      <c r="E91" s="321">
        <f>IF(ISBLANK(D91),"-",$D$101/$D$98*D91)</f>
        <v>2735057.7041894528</v>
      </c>
      <c r="F91" s="320">
        <v>2243046</v>
      </c>
      <c r="G91" s="322">
        <f>IF(ISBLANK(F91),"-",$D$101/$F$98*F91)</f>
        <v>2782530.1872903379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2564186</v>
      </c>
      <c r="E92" s="326">
        <f>IF(ISBLANK(D92),"-",$D$101/$D$98*D92)</f>
        <v>2741691.174634824</v>
      </c>
      <c r="F92" s="325">
        <v>2257133</v>
      </c>
      <c r="G92" s="327">
        <f>IF(ISBLANK(F92),"-",$D$101/$F$98*F92)</f>
        <v>2800005.3094003429</v>
      </c>
      <c r="I92" s="514">
        <f>ABS((F96/D96*D95)-F95)/D95</f>
        <v>1.3681834278676039E-2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2551822</v>
      </c>
      <c r="E93" s="326">
        <f>IF(ISBLANK(D93),"-",$D$101/$D$98*D93)</f>
        <v>2728471.2796337651</v>
      </c>
      <c r="F93" s="325">
        <v>2219186</v>
      </c>
      <c r="G93" s="327">
        <f>IF(ISBLANK(F93),"-",$D$101/$F$98*F93)</f>
        <v>2752931.5208926145</v>
      </c>
      <c r="I93" s="514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2557996.6666666665</v>
      </c>
      <c r="E95" s="336">
        <f>AVERAGE(E91:E94)</f>
        <v>2735073.3861526805</v>
      </c>
      <c r="F95" s="399">
        <f>AVERAGE(F91:F94)</f>
        <v>2239788.3333333335</v>
      </c>
      <c r="G95" s="400">
        <f>AVERAGE(G91:G94)</f>
        <v>2778489.0058610984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20.93</v>
      </c>
      <c r="E96" s="328"/>
      <c r="F96" s="340">
        <v>18.04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20.93</v>
      </c>
      <c r="E97" s="343"/>
      <c r="F97" s="342">
        <f>F96*$B$87</f>
        <v>18.04</v>
      </c>
    </row>
    <row r="98" spans="1:10" ht="19.5" customHeight="1" x14ac:dyDescent="0.3">
      <c r="A98" s="312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20.783489999999997</v>
      </c>
      <c r="E98" s="346"/>
      <c r="F98" s="345">
        <f>F97*$B$83/100</f>
        <v>17.913719999999998</v>
      </c>
    </row>
    <row r="99" spans="1:10" ht="19.5" customHeight="1" x14ac:dyDescent="0.3">
      <c r="A99" s="515" t="s">
        <v>78</v>
      </c>
      <c r="B99" s="529"/>
      <c r="C99" s="403" t="s">
        <v>116</v>
      </c>
      <c r="D99" s="407">
        <f>D98/$B$98</f>
        <v>3.3253583999999996E-2</v>
      </c>
      <c r="E99" s="346"/>
      <c r="F99" s="349">
        <f>F98/$B$98</f>
        <v>2.8661951999999997E-2</v>
      </c>
      <c r="G99" s="408"/>
      <c r="H99" s="338"/>
    </row>
    <row r="100" spans="1:10" ht="19.5" customHeight="1" x14ac:dyDescent="0.3">
      <c r="A100" s="517"/>
      <c r="B100" s="530"/>
      <c r="C100" s="403" t="s">
        <v>80</v>
      </c>
      <c r="D100" s="409">
        <f>$B$56/$B$116</f>
        <v>3.5555555555555556E-2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22.222222222222221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22.222222222222221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2756781.1960068895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1.0320277150798288E-2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10</v>
      </c>
      <c r="C108" s="463">
        <v>1</v>
      </c>
      <c r="D108" s="464">
        <v>2355503</v>
      </c>
      <c r="E108" s="438">
        <f t="shared" ref="E108:E113" si="1">IF(ISBLANK(D108),"-",D108/$D$103*$D$100*$B$116)</f>
        <v>136.71033469972136</v>
      </c>
      <c r="F108" s="465">
        <f t="shared" ref="F108:F113" si="2">IF(ISBLANK(D108), "-", (E108/$B$56)*100)</f>
        <v>85.443959187325845</v>
      </c>
    </row>
    <row r="109" spans="1:10" ht="26.25" customHeight="1" x14ac:dyDescent="0.4">
      <c r="A109" s="312" t="s">
        <v>95</v>
      </c>
      <c r="B109" s="313">
        <v>50</v>
      </c>
      <c r="C109" s="459">
        <v>2</v>
      </c>
      <c r="D109" s="461">
        <v>2343238</v>
      </c>
      <c r="E109" s="439">
        <f t="shared" si="1"/>
        <v>135.99849002998752</v>
      </c>
      <c r="F109" s="466">
        <f t="shared" si="2"/>
        <v>84.999056268742208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2331253</v>
      </c>
      <c r="E110" s="439">
        <f t="shared" si="1"/>
        <v>135.30289619657862</v>
      </c>
      <c r="F110" s="466">
        <f t="shared" si="2"/>
        <v>84.564310122861627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2339354</v>
      </c>
      <c r="E111" s="439">
        <f t="shared" si="1"/>
        <v>135.77306771468002</v>
      </c>
      <c r="F111" s="466">
        <f t="shared" si="2"/>
        <v>84.858167321675012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2328169</v>
      </c>
      <c r="E112" s="439">
        <f t="shared" si="1"/>
        <v>135.12390484219955</v>
      </c>
      <c r="F112" s="466">
        <f t="shared" si="2"/>
        <v>84.452440526374716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2342322</v>
      </c>
      <c r="E113" s="440">
        <f t="shared" si="1"/>
        <v>135.94532657972448</v>
      </c>
      <c r="F113" s="467">
        <f t="shared" si="2"/>
        <v>84.965829112327796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135.80900334381525</v>
      </c>
      <c r="F115" s="469">
        <f>AVERAGE(F108:F113)</f>
        <v>84.880627089884527</v>
      </c>
    </row>
    <row r="116" spans="1:10" ht="27" customHeight="1" x14ac:dyDescent="0.4">
      <c r="A116" s="312" t="s">
        <v>103</v>
      </c>
      <c r="B116" s="344">
        <f>(B115/B114)*(B113/B112)*(B111/B110)*(B109/B108)*B107</f>
        <v>4500</v>
      </c>
      <c r="C116" s="422"/>
      <c r="D116" s="446" t="s">
        <v>84</v>
      </c>
      <c r="E116" s="444">
        <f>STDEV(E108:E113)/E115</f>
        <v>4.1570709302877059E-3</v>
      </c>
      <c r="F116" s="423">
        <f>STDEV(F108:F113)/F115</f>
        <v>4.1570709302877224E-3</v>
      </c>
      <c r="I116" s="286"/>
    </row>
    <row r="117" spans="1:10" ht="27" customHeight="1" x14ac:dyDescent="0.4">
      <c r="A117" s="515" t="s">
        <v>78</v>
      </c>
      <c r="B117" s="516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517"/>
      <c r="B118" s="518"/>
      <c r="C118" s="286"/>
      <c r="D118" s="448"/>
      <c r="E118" s="493" t="s">
        <v>123</v>
      </c>
      <c r="F118" s="494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135.12390484219955</v>
      </c>
      <c r="F119" s="470">
        <f>MIN(F108:F113)</f>
        <v>84.452440526374716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136.71033469972136</v>
      </c>
      <c r="F120" s="471">
        <f>MAX(F108:F113)</f>
        <v>85.443959187325845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527" t="str">
        <f>B26</f>
        <v>Trimethoprim</v>
      </c>
      <c r="D124" s="527"/>
      <c r="E124" s="386" t="s">
        <v>127</v>
      </c>
      <c r="F124" s="386"/>
      <c r="G124" s="472">
        <f>F115</f>
        <v>84.880627089884527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84.452440526374716</v>
      </c>
      <c r="E125" s="397" t="s">
        <v>130</v>
      </c>
      <c r="F125" s="472">
        <f>MAX(F108:F113)</f>
        <v>85.443959187325845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528" t="s">
        <v>26</v>
      </c>
      <c r="C127" s="528"/>
      <c r="E127" s="392" t="s">
        <v>27</v>
      </c>
      <c r="F127" s="427"/>
      <c r="G127" s="528" t="s">
        <v>28</v>
      </c>
      <c r="H127" s="528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zoomScaleNormal="100" workbookViewId="0">
      <selection activeCell="E47" sqref="E47"/>
    </sheetView>
  </sheetViews>
  <sheetFormatPr defaultRowHeight="13.5" x14ac:dyDescent="0.25"/>
  <cols>
    <col min="1" max="1" width="35.5703125" style="408" customWidth="1"/>
    <col min="2" max="2" width="32.42578125" style="408" customWidth="1"/>
    <col min="3" max="3" width="35.28515625" style="408" customWidth="1"/>
    <col min="4" max="4" width="34.7109375" style="408" customWidth="1"/>
    <col min="5" max="5" width="34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3" t="s">
        <v>0</v>
      </c>
      <c r="B15" s="483"/>
      <c r="C15" s="483"/>
      <c r="D15" s="483"/>
      <c r="E15" s="48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75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99.02</v>
      </c>
      <c r="C19" s="72"/>
      <c r="D19" s="72"/>
      <c r="E19" s="72"/>
    </row>
    <row r="20" spans="1:5" ht="16.5" customHeight="1" x14ac:dyDescent="0.3">
      <c r="A20" s="8" t="s">
        <v>8</v>
      </c>
      <c r="B20" s="12">
        <v>16.34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0.16339999999999999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5" t="s">
        <v>16</v>
      </c>
      <c r="E23" s="479" t="s">
        <v>17</v>
      </c>
    </row>
    <row r="24" spans="1:5" ht="16.5" customHeight="1" x14ac:dyDescent="0.3">
      <c r="A24" s="17">
        <v>1</v>
      </c>
      <c r="B24" s="18">
        <v>36551537</v>
      </c>
      <c r="C24" s="18">
        <v>7747.2</v>
      </c>
      <c r="D24" s="476">
        <v>1.1000000000000001</v>
      </c>
      <c r="E24" s="480">
        <v>9.1</v>
      </c>
    </row>
    <row r="25" spans="1:5" ht="16.5" customHeight="1" x14ac:dyDescent="0.3">
      <c r="A25" s="17">
        <v>2</v>
      </c>
      <c r="B25" s="18">
        <v>36626283</v>
      </c>
      <c r="C25" s="18">
        <v>7718.5</v>
      </c>
      <c r="D25" s="476">
        <v>1.1000000000000001</v>
      </c>
      <c r="E25" s="481">
        <v>9.1</v>
      </c>
    </row>
    <row r="26" spans="1:5" ht="16.5" customHeight="1" x14ac:dyDescent="0.3">
      <c r="A26" s="17">
        <v>3</v>
      </c>
      <c r="B26" s="18">
        <v>36464344</v>
      </c>
      <c r="C26" s="18">
        <v>7714</v>
      </c>
      <c r="D26" s="476">
        <v>1.1000000000000001</v>
      </c>
      <c r="E26" s="481">
        <v>9.1</v>
      </c>
    </row>
    <row r="27" spans="1:5" ht="16.5" customHeight="1" x14ac:dyDescent="0.3">
      <c r="A27" s="17">
        <v>4</v>
      </c>
      <c r="B27" s="18">
        <v>36557015</v>
      </c>
      <c r="C27" s="18">
        <v>7712.1</v>
      </c>
      <c r="D27" s="476">
        <v>1.1000000000000001</v>
      </c>
      <c r="E27" s="481">
        <v>9.1</v>
      </c>
    </row>
    <row r="28" spans="1:5" ht="16.5" customHeight="1" x14ac:dyDescent="0.3">
      <c r="A28" s="17">
        <v>5</v>
      </c>
      <c r="B28" s="18">
        <v>36854221</v>
      </c>
      <c r="C28" s="18">
        <v>7705.6</v>
      </c>
      <c r="D28" s="476">
        <v>1.1000000000000001</v>
      </c>
      <c r="E28" s="481">
        <v>9.1</v>
      </c>
    </row>
    <row r="29" spans="1:5" ht="16.5" customHeight="1" x14ac:dyDescent="0.3">
      <c r="A29" s="17">
        <v>6</v>
      </c>
      <c r="B29" s="21">
        <v>36392231</v>
      </c>
      <c r="C29" s="21">
        <v>7702.9</v>
      </c>
      <c r="D29" s="477">
        <v>1.1000000000000001</v>
      </c>
      <c r="E29" s="482">
        <v>9.1</v>
      </c>
    </row>
    <row r="30" spans="1:5" ht="16.5" customHeight="1" x14ac:dyDescent="0.3">
      <c r="A30" s="23" t="s">
        <v>18</v>
      </c>
      <c r="B30" s="24">
        <f>AVERAGE(B24:B29)</f>
        <v>36574271.833333336</v>
      </c>
      <c r="C30" s="25">
        <f>AVERAGE(C24:C29)</f>
        <v>7716.7166666666672</v>
      </c>
      <c r="D30" s="26">
        <f>AVERAGE(D24:D29)</f>
        <v>1.0999999999999999</v>
      </c>
      <c r="E30" s="478">
        <f>AVERAGE(E24:E29)</f>
        <v>9.1</v>
      </c>
    </row>
    <row r="31" spans="1:5" ht="16.5" customHeight="1" x14ac:dyDescent="0.3">
      <c r="A31" s="27" t="s">
        <v>19</v>
      </c>
      <c r="B31" s="28">
        <f>(STDEV(B24:B29)/B30)</f>
        <v>4.3594993797373416E-3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99.02</v>
      </c>
      <c r="C40" s="72"/>
      <c r="D40" s="72"/>
      <c r="E40" s="72"/>
    </row>
    <row r="41" spans="1:5" ht="16.5" customHeight="1" x14ac:dyDescent="0.3">
      <c r="A41" s="8" t="s">
        <v>8</v>
      </c>
      <c r="B41" s="12">
        <v>16.34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0.16339999999999999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36551537</v>
      </c>
      <c r="C45" s="18">
        <v>7747.2</v>
      </c>
      <c r="D45" s="19">
        <v>1.1000000000000001</v>
      </c>
      <c r="E45" s="480">
        <v>9.1</v>
      </c>
    </row>
    <row r="46" spans="1:5" ht="16.5" customHeight="1" x14ac:dyDescent="0.3">
      <c r="A46" s="17">
        <v>2</v>
      </c>
      <c r="B46" s="18">
        <v>36626283</v>
      </c>
      <c r="C46" s="18">
        <v>7718.5</v>
      </c>
      <c r="D46" s="19">
        <v>1.1000000000000001</v>
      </c>
      <c r="E46" s="481">
        <v>9.1</v>
      </c>
    </row>
    <row r="47" spans="1:5" ht="16.5" customHeight="1" x14ac:dyDescent="0.3">
      <c r="A47" s="17">
        <v>3</v>
      </c>
      <c r="B47" s="18">
        <v>36464344</v>
      </c>
      <c r="C47" s="18">
        <v>7714</v>
      </c>
      <c r="D47" s="19">
        <v>1.1000000000000001</v>
      </c>
      <c r="E47" s="481">
        <v>9.1</v>
      </c>
    </row>
    <row r="48" spans="1:5" ht="16.5" customHeight="1" x14ac:dyDescent="0.3">
      <c r="A48" s="17">
        <v>4</v>
      </c>
      <c r="B48" s="18">
        <v>36557015</v>
      </c>
      <c r="C48" s="18">
        <v>7712.1</v>
      </c>
      <c r="D48" s="19">
        <v>1.1000000000000001</v>
      </c>
      <c r="E48" s="481">
        <v>9.1</v>
      </c>
    </row>
    <row r="49" spans="1:7" ht="16.5" customHeight="1" x14ac:dyDescent="0.3">
      <c r="A49" s="17">
        <v>5</v>
      </c>
      <c r="B49" s="18">
        <v>36854221</v>
      </c>
      <c r="C49" s="18">
        <v>7705.6</v>
      </c>
      <c r="D49" s="19">
        <v>1.1000000000000001</v>
      </c>
      <c r="E49" s="481">
        <v>9.1</v>
      </c>
    </row>
    <row r="50" spans="1:7" ht="16.5" customHeight="1" x14ac:dyDescent="0.3">
      <c r="A50" s="17">
        <v>6</v>
      </c>
      <c r="B50" s="21">
        <v>36392231</v>
      </c>
      <c r="C50" s="21">
        <v>7702.9</v>
      </c>
      <c r="D50" s="22">
        <v>1.1000000000000001</v>
      </c>
      <c r="E50" s="482">
        <v>9.1</v>
      </c>
    </row>
    <row r="51" spans="1:7" ht="16.5" customHeight="1" x14ac:dyDescent="0.3">
      <c r="A51" s="23" t="s">
        <v>18</v>
      </c>
      <c r="B51" s="24">
        <f>AVERAGE(B45:B50)</f>
        <v>36574271.833333336</v>
      </c>
      <c r="C51" s="25">
        <f>AVERAGE(C45:C50)</f>
        <v>7716.7166666666672</v>
      </c>
      <c r="D51" s="26">
        <f>AVERAGE(D45:D50)</f>
        <v>1.0999999999999999</v>
      </c>
      <c r="E51" s="26">
        <f>AVERAGE(E45:E50)</f>
        <v>9.1</v>
      </c>
    </row>
    <row r="52" spans="1:7" ht="16.5" customHeight="1" x14ac:dyDescent="0.3">
      <c r="A52" s="27" t="s">
        <v>19</v>
      </c>
      <c r="B52" s="28">
        <f>(STDEV(B45:B50)/B51)</f>
        <v>4.3594993797373416E-3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84" t="s">
        <v>26</v>
      </c>
      <c r="C59" s="484"/>
      <c r="E59" s="474" t="s">
        <v>27</v>
      </c>
      <c r="F59" s="46"/>
      <c r="G59" s="474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TRIM</vt:lpstr>
      <vt:lpstr>Uniformity</vt:lpstr>
      <vt:lpstr>Sulfamethoxazole</vt:lpstr>
      <vt:lpstr>Trimethoprim</vt:lpstr>
      <vt:lpstr>SST SULF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2017-07-31T11:03:41Z</cp:lastPrinted>
  <dcterms:created xsi:type="dcterms:W3CDTF">2005-07-05T10:19:27Z</dcterms:created>
  <dcterms:modified xsi:type="dcterms:W3CDTF">2017-08-04T07:29:09Z</dcterms:modified>
</cp:coreProperties>
</file>