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"/>
    </mc:Choice>
  </mc:AlternateContent>
  <bookViews>
    <workbookView xWindow="0" yWindow="0" windowWidth="20460" windowHeight="7620" activeTab="1"/>
  </bookViews>
  <sheets>
    <sheet name="sst sulfa" sheetId="5" r:id="rId1"/>
    <sheet name="Sulfamethoxazole" sheetId="6" r:id="rId2"/>
    <sheet name="Trimethoprim" sheetId="7" r:id="rId3"/>
    <sheet name="sst trim" sheetId="8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2" i="8"/>
  <c r="E30" i="8"/>
  <c r="D30" i="8"/>
  <c r="C30" i="8"/>
  <c r="B30" i="8"/>
  <c r="B31" i="8" s="1"/>
  <c r="B21" i="8"/>
  <c r="C124" i="7"/>
  <c r="B116" i="7"/>
  <c r="D100" i="7" s="1"/>
  <c r="D101" i="7" s="1"/>
  <c r="D102" i="7" s="1"/>
  <c r="B98" i="7"/>
  <c r="F97" i="7"/>
  <c r="D97" i="7"/>
  <c r="F95" i="7"/>
  <c r="D95" i="7"/>
  <c r="G94" i="7"/>
  <c r="E94" i="7"/>
  <c r="B87" i="7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G41" i="7"/>
  <c r="E41" i="7"/>
  <c r="B34" i="7"/>
  <c r="F44" i="7" s="1"/>
  <c r="F45" i="7" s="1"/>
  <c r="F46" i="7" s="1"/>
  <c r="B30" i="7"/>
  <c r="C124" i="6"/>
  <c r="B116" i="6"/>
  <c r="D100" i="6"/>
  <c r="B98" i="6"/>
  <c r="F95" i="6"/>
  <c r="D95" i="6"/>
  <c r="I92" i="6" s="1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C56" i="6"/>
  <c r="B55" i="6"/>
  <c r="B45" i="6"/>
  <c r="D48" i="6" s="1"/>
  <c r="D49" i="6" s="1"/>
  <c r="F44" i="6"/>
  <c r="D44" i="6"/>
  <c r="D45" i="6" s="1"/>
  <c r="F42" i="6"/>
  <c r="D42" i="6"/>
  <c r="G41" i="6"/>
  <c r="E41" i="6"/>
  <c r="B34" i="6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F98" i="7" l="1"/>
  <c r="F45" i="6"/>
  <c r="F98" i="6"/>
  <c r="F99" i="6" s="1"/>
  <c r="D101" i="6"/>
  <c r="D102" i="6" s="1"/>
  <c r="D98" i="7"/>
  <c r="I92" i="7"/>
  <c r="I39" i="7"/>
  <c r="I39" i="6"/>
  <c r="G40" i="6"/>
  <c r="G38" i="6"/>
  <c r="F46" i="6"/>
  <c r="G39" i="6"/>
  <c r="D99" i="7"/>
  <c r="E93" i="7"/>
  <c r="G92" i="6"/>
  <c r="E38" i="6"/>
  <c r="D46" i="6"/>
  <c r="E39" i="6"/>
  <c r="E40" i="6"/>
  <c r="G39" i="7"/>
  <c r="G40" i="7"/>
  <c r="D49" i="7"/>
  <c r="G38" i="7"/>
  <c r="G91" i="7"/>
  <c r="F99" i="7"/>
  <c r="D44" i="7"/>
  <c r="D45" i="7" s="1"/>
  <c r="D46" i="7" s="1"/>
  <c r="G92" i="7"/>
  <c r="D97" i="6"/>
  <c r="D98" i="6" s="1"/>
  <c r="D99" i="6" s="1"/>
  <c r="E91" i="7"/>
  <c r="E92" i="7"/>
  <c r="G93" i="7"/>
  <c r="G91" i="6" l="1"/>
  <c r="G95" i="6" s="1"/>
  <c r="E39" i="7"/>
  <c r="G93" i="6"/>
  <c r="E40" i="7"/>
  <c r="G42" i="7"/>
  <c r="G42" i="6"/>
  <c r="E93" i="6"/>
  <c r="D50" i="6"/>
  <c r="E42" i="6"/>
  <c r="D52" i="6"/>
  <c r="E92" i="6"/>
  <c r="E95" i="7"/>
  <c r="D105" i="7"/>
  <c r="D103" i="7"/>
  <c r="G95" i="7"/>
  <c r="E91" i="6"/>
  <c r="E38" i="7"/>
  <c r="E112" i="7" l="1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D52" i="7"/>
  <c r="D50" i="7"/>
  <c r="E42" i="7"/>
  <c r="D103" i="6"/>
  <c r="E95" i="6"/>
  <c r="D105" i="6"/>
  <c r="D51" i="6"/>
  <c r="E112" i="6" l="1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E115" i="7"/>
  <c r="E116" i="7" s="1"/>
  <c r="E119" i="7"/>
  <c r="E120" i="7"/>
  <c r="E117" i="7"/>
  <c r="F108" i="7"/>
  <c r="D51" i="7"/>
  <c r="E120" i="6" l="1"/>
  <c r="E117" i="6"/>
  <c r="F108" i="6"/>
  <c r="E115" i="6"/>
  <c r="E116" i="6" s="1"/>
  <c r="E119" i="6"/>
  <c r="F119" i="7"/>
  <c r="F125" i="7"/>
  <c r="F120" i="7"/>
  <c r="F117" i="7"/>
  <c r="D125" i="7"/>
  <c r="F115" i="7"/>
  <c r="D125" i="6" l="1"/>
  <c r="F115" i="6"/>
  <c r="F119" i="6"/>
  <c r="F125" i="6"/>
  <c r="F120" i="6"/>
  <c r="F117" i="6"/>
  <c r="G124" i="7"/>
  <c r="F116" i="7"/>
  <c r="G124" i="6" l="1"/>
  <c r="F116" i="6"/>
  <c r="C46" i="2" l="1"/>
  <c r="C45" i="2"/>
  <c r="D41" i="2"/>
  <c r="D37" i="2"/>
  <c r="D36" i="2"/>
  <c r="D33" i="2"/>
  <c r="D29" i="2"/>
  <c r="D28" i="2"/>
  <c r="D25" i="2"/>
  <c r="C19" i="2"/>
  <c r="B57" i="7" l="1"/>
  <c r="B57" i="6"/>
  <c r="D24" i="2"/>
  <c r="D32" i="2"/>
  <c r="D40" i="2"/>
  <c r="D49" i="2"/>
  <c r="D27" i="2"/>
  <c r="D31" i="2"/>
  <c r="D35" i="2"/>
  <c r="D39" i="2"/>
  <c r="D43" i="2"/>
  <c r="C49" i="2"/>
  <c r="C50" i="2"/>
  <c r="D26" i="2"/>
  <c r="D30" i="2"/>
  <c r="D34" i="2"/>
  <c r="D38" i="2"/>
  <c r="D42" i="2"/>
  <c r="B49" i="2"/>
  <c r="D50" i="2"/>
  <c r="B69" i="6" l="1"/>
  <c r="G60" i="6"/>
  <c r="G68" i="6"/>
  <c r="H68" i="6" s="1"/>
  <c r="G65" i="6"/>
  <c r="H65" i="6" s="1"/>
  <c r="G62" i="6"/>
  <c r="H62" i="6" s="1"/>
  <c r="G70" i="6"/>
  <c r="H70" i="6" s="1"/>
  <c r="G64" i="6"/>
  <c r="H64" i="6" s="1"/>
  <c r="G61" i="6"/>
  <c r="H61" i="6" s="1"/>
  <c r="G69" i="6"/>
  <c r="H69" i="6" s="1"/>
  <c r="G66" i="6"/>
  <c r="H66" i="6" s="1"/>
  <c r="B69" i="7"/>
  <c r="G68" i="7"/>
  <c r="H68" i="7" s="1"/>
  <c r="G69" i="7"/>
  <c r="H69" i="7" s="1"/>
  <c r="G70" i="7"/>
  <c r="H70" i="7" s="1"/>
  <c r="G62" i="7"/>
  <c r="H62" i="7" s="1"/>
  <c r="G66" i="7"/>
  <c r="H66" i="7" s="1"/>
  <c r="G64" i="7"/>
  <c r="H64" i="7" s="1"/>
  <c r="G61" i="7"/>
  <c r="H61" i="7" s="1"/>
  <c r="G60" i="7"/>
  <c r="G65" i="7"/>
  <c r="H65" i="7" s="1"/>
  <c r="H60" i="7" l="1"/>
  <c r="G72" i="7"/>
  <c r="G73" i="7" s="1"/>
  <c r="G74" i="7"/>
  <c r="H60" i="6"/>
  <c r="G72" i="6"/>
  <c r="G73" i="6" s="1"/>
  <c r="G74" i="6"/>
  <c r="H74" i="6" l="1"/>
  <c r="H72" i="6"/>
  <c r="H72" i="7"/>
  <c r="H74" i="7"/>
  <c r="H73" i="7" l="1"/>
  <c r="G76" i="7"/>
  <c r="H73" i="6"/>
  <c r="G76" i="6"/>
</calcChain>
</file>

<file path=xl/sharedStrings.xml><?xml version="1.0" encoding="utf-8"?>
<sst xmlns="http://schemas.openxmlformats.org/spreadsheetml/2006/main" count="454" uniqueCount="138">
  <si>
    <t>HPLC System Suitability Report</t>
  </si>
  <si>
    <t>Analysis Data</t>
  </si>
  <si>
    <t>Assay</t>
  </si>
  <si>
    <t>Sample(s)</t>
  </si>
  <si>
    <t>Reference Substance:</t>
  </si>
  <si>
    <t>CO-TRIMOXAZOLE U.S.P  960 MG TABLETS</t>
  </si>
  <si>
    <t>% age Purity:</t>
  </si>
  <si>
    <t>NDQB201707011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</si>
  <si>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</si>
  <si>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</si>
  <si>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</si>
  <si>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</si>
  <si>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2017-07-19 08:33:13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</si>
  <si>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</si>
  <si>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</si>
  <si>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</si>
  <si>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</si>
  <si>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</si>
  <si>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</si>
  <si>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</si>
  <si>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</si>
  <si>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</si>
  <si>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</si>
  <si>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</si>
  <si>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</si>
  <si>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</si>
  <si>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</si>
  <si>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</si>
  <si>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</si>
  <si>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</si>
  <si>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</si>
  <si>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</si>
  <si>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</si>
  <si>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</si>
  <si>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</si>
  <si>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</si>
  <si>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</si>
  <si>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</si>
  <si>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</si>
  <si>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</si>
  <si>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</si>
  <si>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</si>
  <si>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</si>
  <si>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</si>
  <si>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</si>
  <si>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</si>
  <si>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</si>
  <si>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</si>
  <si>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</si>
  <si>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</si>
  <si>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</si>
  <si>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</si>
  <si>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</si>
  <si>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</si>
  <si>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</si>
  <si>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</si>
  <si>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</si>
  <si>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</si>
  <si>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</si>
  <si>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</si>
  <si>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</si>
  <si>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</si>
  <si>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</si>
  <si>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</si>
  <si>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</si>
  <si>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</si>
  <si>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</si>
  <si>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</si>
  <si>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</si>
  <si>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</si>
  <si>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</si>
  <si>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</si>
  <si>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</si>
  <si>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</si>
  <si>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</si>
  <si>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</si>
  <si>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</si>
  <si>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</si>
  <si>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</si>
  <si>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</si>
  <si>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</si>
  <si>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</si>
  <si>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</si>
  <si>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</si>
  <si>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</si>
  <si>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</si>
  <si>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</si>
  <si>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</si>
  <si>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</si>
  <si>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</si>
  <si>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</si>
  <si>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</si>
  <si>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</si>
  <si>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</si>
  <si>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</si>
  <si>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</si>
  <si>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</si>
  <si>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</si>
  <si>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</si>
  <si>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</si>
  <si>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</si>
  <si>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</si>
  <si>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</si>
  <si>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</si>
  <si>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</si>
  <si>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</si>
  <si>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</si>
  <si>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</si>
  <si>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</si>
  <si>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</si>
  <si>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</si>
  <si>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</si>
  <si>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</si>
  <si>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</si>
  <si>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</si>
  <si>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</si>
  <si>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</si>
  <si>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</si>
  <si>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</si>
  <si>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</si>
  <si>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</si>
  <si>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</si>
  <si>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</si>
  <si>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</si>
  <si>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</si>
  <si>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</si>
  <si>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</si>
  <si>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</si>
  <si>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</si>
  <si>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</si>
  <si>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</si>
  <si>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</si>
  <si>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2017-07-20 14:50:03</t>
  </si>
  <si>
    <t>sulfamethoxazole</t>
  </si>
  <si>
    <t>Sulfamethoxazole</t>
  </si>
  <si>
    <t>S12-6</t>
  </si>
  <si>
    <t>Trimethoprim</t>
  </si>
  <si>
    <t>T7-4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</si>
</sst>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0" fontId="26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27" fillId="3" borderId="0" xfId="1" applyFont="1" applyFill="1" applyAlignment="1" applyProtection="1">
      <alignment horizontal="left" wrapText="1"/>
      <protection locked="0"/>
    </xf>
    <xf numFmtId="0" fontId="28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/>
      <protection locked="0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27" fillId="3" borderId="0" xfId="2" applyFont="1" applyFill="1" applyAlignment="1" applyProtection="1">
      <alignment horizontal="left" wrapText="1"/>
      <protection locked="0"/>
    </xf>
    <xf numFmtId="0" fontId="28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7" workbookViewId="0">
      <selection activeCell="E29" sqref="E2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57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8">
        <v>99.02</v>
      </c>
      <c r="C19" s="55"/>
      <c r="D19" s="55"/>
      <c r="E19" s="55"/>
    </row>
    <row r="20" spans="1:5" ht="16.5" customHeight="1" x14ac:dyDescent="0.3">
      <c r="A20" s="53" t="s">
        <v>8</v>
      </c>
      <c r="B20" s="58">
        <v>16.34</v>
      </c>
      <c r="C20" s="55"/>
      <c r="D20" s="55"/>
      <c r="E20" s="55"/>
    </row>
    <row r="21" spans="1:5" ht="16.5" customHeight="1" x14ac:dyDescent="0.3">
      <c r="A21" s="53" t="s">
        <v>10</v>
      </c>
      <c r="B21" s="59">
        <f>B20/100</f>
        <v>0.16339999999999999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39216565</v>
      </c>
      <c r="C24" s="63">
        <v>9149.6</v>
      </c>
      <c r="D24" s="64">
        <v>1</v>
      </c>
      <c r="E24" s="65">
        <v>8.4</v>
      </c>
    </row>
    <row r="25" spans="1:5" ht="16.5" customHeight="1" x14ac:dyDescent="0.3">
      <c r="A25" s="62">
        <v>2</v>
      </c>
      <c r="B25" s="63">
        <v>39275677</v>
      </c>
      <c r="C25" s="63">
        <v>9141.2999999999993</v>
      </c>
      <c r="D25" s="64">
        <v>1</v>
      </c>
      <c r="E25" s="64">
        <v>8.4</v>
      </c>
    </row>
    <row r="26" spans="1:5" ht="16.5" customHeight="1" x14ac:dyDescent="0.3">
      <c r="A26" s="62">
        <v>3</v>
      </c>
      <c r="B26" s="63">
        <v>39218103</v>
      </c>
      <c r="C26" s="63">
        <v>9156.6</v>
      </c>
      <c r="D26" s="64">
        <v>1</v>
      </c>
      <c r="E26" s="64">
        <v>8.4</v>
      </c>
    </row>
    <row r="27" spans="1:5" ht="16.5" customHeight="1" x14ac:dyDescent="0.3">
      <c r="A27" s="62">
        <v>4</v>
      </c>
      <c r="B27" s="63">
        <v>39220825</v>
      </c>
      <c r="C27" s="63">
        <v>9078.2999999999993</v>
      </c>
      <c r="D27" s="64">
        <v>1</v>
      </c>
      <c r="E27" s="64">
        <v>8.4</v>
      </c>
    </row>
    <row r="28" spans="1:5" ht="16.5" customHeight="1" x14ac:dyDescent="0.3">
      <c r="A28" s="62">
        <v>5</v>
      </c>
      <c r="B28" s="63">
        <v>39248744</v>
      </c>
      <c r="C28" s="63">
        <v>9097.9</v>
      </c>
      <c r="D28" s="64">
        <v>1</v>
      </c>
      <c r="E28" s="64">
        <v>8.4</v>
      </c>
    </row>
    <row r="29" spans="1:5" ht="16.5" customHeight="1" x14ac:dyDescent="0.3">
      <c r="A29" s="62">
        <v>6</v>
      </c>
      <c r="B29" s="66">
        <v>39280662</v>
      </c>
      <c r="C29" s="66">
        <v>9105.4</v>
      </c>
      <c r="D29" s="67">
        <v>1</v>
      </c>
      <c r="E29" s="67">
        <v>8.4</v>
      </c>
    </row>
    <row r="30" spans="1:5" ht="16.5" customHeight="1" x14ac:dyDescent="0.3">
      <c r="A30" s="68" t="s">
        <v>18</v>
      </c>
      <c r="B30" s="69">
        <f>AVERAGE(B24:B29)</f>
        <v>39243429.333333336</v>
      </c>
      <c r="C30" s="70">
        <f>AVERAGE(C24:C29)</f>
        <v>9121.5166666666682</v>
      </c>
      <c r="D30" s="71">
        <f>AVERAGE(D24:D29)</f>
        <v>1</v>
      </c>
      <c r="E30" s="71">
        <f>AVERAGE(E24:E29)</f>
        <v>8.4</v>
      </c>
    </row>
    <row r="31" spans="1:5" ht="16.5" customHeight="1" x14ac:dyDescent="0.3">
      <c r="A31" s="72" t="s">
        <v>19</v>
      </c>
      <c r="B31" s="73">
        <f>(STDEV(B24:B29)/B30)</f>
        <v>7.4975054034025462E-4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133</v>
      </c>
      <c r="C39" s="55"/>
      <c r="D39" s="55"/>
      <c r="E39" s="55"/>
    </row>
    <row r="40" spans="1:5" ht="16.5" customHeight="1" x14ac:dyDescent="0.3">
      <c r="A40" s="56" t="s">
        <v>6</v>
      </c>
      <c r="B40" s="58">
        <v>99.02</v>
      </c>
      <c r="C40" s="55"/>
      <c r="D40" s="55"/>
      <c r="E40" s="55"/>
    </row>
    <row r="41" spans="1:5" ht="16.5" customHeight="1" x14ac:dyDescent="0.3">
      <c r="A41" s="53" t="s">
        <v>8</v>
      </c>
      <c r="B41" s="58">
        <v>16.34</v>
      </c>
      <c r="C41" s="55"/>
      <c r="D41" s="55"/>
      <c r="E41" s="55"/>
    </row>
    <row r="42" spans="1:5" ht="16.5" customHeight="1" x14ac:dyDescent="0.3">
      <c r="A42" s="53" t="s">
        <v>10</v>
      </c>
      <c r="B42" s="59">
        <v>0.16339999999999999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>
        <v>39216565</v>
      </c>
      <c r="C45" s="63">
        <v>9149.6</v>
      </c>
      <c r="D45" s="64">
        <v>1</v>
      </c>
      <c r="E45" s="65">
        <v>8.4</v>
      </c>
    </row>
    <row r="46" spans="1:5" ht="16.5" customHeight="1" x14ac:dyDescent="0.3">
      <c r="A46" s="62">
        <v>2</v>
      </c>
      <c r="B46" s="63">
        <v>39275677</v>
      </c>
      <c r="C46" s="63">
        <v>9141.2999999999993</v>
      </c>
      <c r="D46" s="64">
        <v>1</v>
      </c>
      <c r="E46" s="64">
        <v>8.4</v>
      </c>
    </row>
    <row r="47" spans="1:5" ht="16.5" customHeight="1" x14ac:dyDescent="0.3">
      <c r="A47" s="62">
        <v>3</v>
      </c>
      <c r="B47" s="63">
        <v>39218103</v>
      </c>
      <c r="C47" s="63">
        <v>9156.6</v>
      </c>
      <c r="D47" s="64">
        <v>1</v>
      </c>
      <c r="E47" s="64">
        <v>8.4</v>
      </c>
    </row>
    <row r="48" spans="1:5" ht="16.5" customHeight="1" x14ac:dyDescent="0.3">
      <c r="A48" s="62">
        <v>4</v>
      </c>
      <c r="B48" s="63">
        <v>39220825</v>
      </c>
      <c r="C48" s="63">
        <v>9078.2999999999993</v>
      </c>
      <c r="D48" s="64">
        <v>1</v>
      </c>
      <c r="E48" s="64">
        <v>8.4</v>
      </c>
    </row>
    <row r="49" spans="1:7" ht="16.5" customHeight="1" x14ac:dyDescent="0.3">
      <c r="A49" s="62">
        <v>5</v>
      </c>
      <c r="B49" s="63">
        <v>39248744</v>
      </c>
      <c r="C49" s="63">
        <v>9097.9</v>
      </c>
      <c r="D49" s="64">
        <v>1</v>
      </c>
      <c r="E49" s="64">
        <v>8.4</v>
      </c>
    </row>
    <row r="50" spans="1:7" ht="16.5" customHeight="1" x14ac:dyDescent="0.3">
      <c r="A50" s="62">
        <v>6</v>
      </c>
      <c r="B50" s="66">
        <v>39280662</v>
      </c>
      <c r="C50" s="66">
        <v>9105.4</v>
      </c>
      <c r="D50" s="67">
        <v>1</v>
      </c>
      <c r="E50" s="67">
        <v>8.4</v>
      </c>
    </row>
    <row r="51" spans="1:7" ht="16.5" customHeight="1" x14ac:dyDescent="0.3">
      <c r="A51" s="68" t="s">
        <v>18</v>
      </c>
      <c r="B51" s="69">
        <f>AVERAGE(B45:B50)</f>
        <v>39243429.333333336</v>
      </c>
      <c r="C51" s="70">
        <f>AVERAGE(C45:C50)</f>
        <v>9121.5166666666682</v>
      </c>
      <c r="D51" s="71">
        <f>AVERAGE(D45:D50)</f>
        <v>1</v>
      </c>
      <c r="E51" s="71">
        <f>AVERAGE(E45:E50)</f>
        <v>8.4</v>
      </c>
    </row>
    <row r="52" spans="1:7" ht="16.5" customHeight="1" x14ac:dyDescent="0.3">
      <c r="A52" s="72" t="s">
        <v>19</v>
      </c>
      <c r="B52" s="73">
        <f>(STDEV(B45:B50)/B51)</f>
        <v>7.4975054034025462E-4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6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467" t="s">
        <v>26</v>
      </c>
      <c r="C59" s="467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79" zoomScale="55" zoomScaleNormal="40" zoomScalePageLayoutView="55" workbookViewId="0">
      <selection activeCell="D113" sqref="D11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500" t="s">
        <v>45</v>
      </c>
      <c r="B1" s="500"/>
      <c r="C1" s="500"/>
      <c r="D1" s="500"/>
      <c r="E1" s="500"/>
      <c r="F1" s="500"/>
      <c r="G1" s="500"/>
      <c r="H1" s="500"/>
      <c r="I1" s="500"/>
    </row>
    <row r="2" spans="1:9" ht="18.75" customHeight="1" x14ac:dyDescent="0.25">
      <c r="A2" s="500"/>
      <c r="B2" s="500"/>
      <c r="C2" s="500"/>
      <c r="D2" s="500"/>
      <c r="E2" s="500"/>
      <c r="F2" s="500"/>
      <c r="G2" s="500"/>
      <c r="H2" s="500"/>
      <c r="I2" s="500"/>
    </row>
    <row r="3" spans="1:9" ht="18.75" customHeight="1" x14ac:dyDescent="0.25">
      <c r="A3" s="500"/>
      <c r="B3" s="500"/>
      <c r="C3" s="500"/>
      <c r="D3" s="500"/>
      <c r="E3" s="500"/>
      <c r="F3" s="500"/>
      <c r="G3" s="500"/>
      <c r="H3" s="500"/>
      <c r="I3" s="500"/>
    </row>
    <row r="4" spans="1:9" ht="18.75" customHeight="1" x14ac:dyDescent="0.25">
      <c r="A4" s="500"/>
      <c r="B4" s="500"/>
      <c r="C4" s="500"/>
      <c r="D4" s="500"/>
      <c r="E4" s="500"/>
      <c r="F4" s="500"/>
      <c r="G4" s="500"/>
      <c r="H4" s="500"/>
      <c r="I4" s="500"/>
    </row>
    <row r="5" spans="1:9" ht="18.75" customHeight="1" x14ac:dyDescent="0.25">
      <c r="A5" s="500"/>
      <c r="B5" s="500"/>
      <c r="C5" s="500"/>
      <c r="D5" s="500"/>
      <c r="E5" s="500"/>
      <c r="F5" s="500"/>
      <c r="G5" s="500"/>
      <c r="H5" s="500"/>
      <c r="I5" s="500"/>
    </row>
    <row r="6" spans="1:9" ht="18.75" customHeight="1" x14ac:dyDescent="0.25">
      <c r="A6" s="500"/>
      <c r="B6" s="500"/>
      <c r="C6" s="500"/>
      <c r="D6" s="500"/>
      <c r="E6" s="500"/>
      <c r="F6" s="500"/>
      <c r="G6" s="500"/>
      <c r="H6" s="500"/>
      <c r="I6" s="500"/>
    </row>
    <row r="7" spans="1:9" ht="18.75" customHeight="1" x14ac:dyDescent="0.25">
      <c r="A7" s="500"/>
      <c r="B7" s="500"/>
      <c r="C7" s="500"/>
      <c r="D7" s="500"/>
      <c r="E7" s="500"/>
      <c r="F7" s="500"/>
      <c r="G7" s="500"/>
      <c r="H7" s="500"/>
      <c r="I7" s="500"/>
    </row>
    <row r="8" spans="1:9" x14ac:dyDescent="0.25">
      <c r="A8" s="501" t="s">
        <v>46</v>
      </c>
      <c r="B8" s="501"/>
      <c r="C8" s="501"/>
      <c r="D8" s="501"/>
      <c r="E8" s="501"/>
      <c r="F8" s="501"/>
      <c r="G8" s="501"/>
      <c r="H8" s="501"/>
      <c r="I8" s="501"/>
    </row>
    <row r="9" spans="1:9" x14ac:dyDescent="0.25">
      <c r="A9" s="501"/>
      <c r="B9" s="501"/>
      <c r="C9" s="501"/>
      <c r="D9" s="501"/>
      <c r="E9" s="501"/>
      <c r="F9" s="501"/>
      <c r="G9" s="501"/>
      <c r="H9" s="501"/>
      <c r="I9" s="501"/>
    </row>
    <row r="10" spans="1:9" x14ac:dyDescent="0.25">
      <c r="A10" s="501"/>
      <c r="B10" s="501"/>
      <c r="C10" s="501"/>
      <c r="D10" s="501"/>
      <c r="E10" s="501"/>
      <c r="F10" s="501"/>
      <c r="G10" s="501"/>
      <c r="H10" s="501"/>
      <c r="I10" s="501"/>
    </row>
    <row r="11" spans="1:9" x14ac:dyDescent="0.25">
      <c r="A11" s="501"/>
      <c r="B11" s="501"/>
      <c r="C11" s="501"/>
      <c r="D11" s="501"/>
      <c r="E11" s="501"/>
      <c r="F11" s="501"/>
      <c r="G11" s="501"/>
      <c r="H11" s="501"/>
      <c r="I11" s="501"/>
    </row>
    <row r="12" spans="1:9" x14ac:dyDescent="0.25">
      <c r="A12" s="501"/>
      <c r="B12" s="501"/>
      <c r="C12" s="501"/>
      <c r="D12" s="501"/>
      <c r="E12" s="501"/>
      <c r="F12" s="501"/>
      <c r="G12" s="501"/>
      <c r="H12" s="501"/>
      <c r="I12" s="501"/>
    </row>
    <row r="13" spans="1:9" x14ac:dyDescent="0.25">
      <c r="A13" s="501"/>
      <c r="B13" s="501"/>
      <c r="C13" s="501"/>
      <c r="D13" s="501"/>
      <c r="E13" s="501"/>
      <c r="F13" s="501"/>
      <c r="G13" s="501"/>
      <c r="H13" s="501"/>
      <c r="I13" s="501"/>
    </row>
    <row r="14" spans="1:9" x14ac:dyDescent="0.25">
      <c r="A14" s="501"/>
      <c r="B14" s="501"/>
      <c r="C14" s="501"/>
      <c r="D14" s="501"/>
      <c r="E14" s="501"/>
      <c r="F14" s="501"/>
      <c r="G14" s="501"/>
      <c r="H14" s="501"/>
      <c r="I14" s="501"/>
    </row>
    <row r="15" spans="1:9" ht="19.5" customHeight="1" thickBot="1" x14ac:dyDescent="0.35">
      <c r="A15" s="93"/>
    </row>
    <row r="16" spans="1:9" ht="19.5" customHeight="1" thickBot="1" x14ac:dyDescent="0.35">
      <c r="A16" s="502" t="s">
        <v>31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47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94" t="s">
        <v>33</v>
      </c>
      <c r="B18" s="506" t="s">
        <v>5</v>
      </c>
      <c r="C18" s="506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7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507" t="s">
        <v>9</v>
      </c>
      <c r="C20" s="507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507" t="s">
        <v>11</v>
      </c>
      <c r="C21" s="507"/>
      <c r="D21" s="507"/>
      <c r="E21" s="507"/>
      <c r="F21" s="507"/>
      <c r="G21" s="507"/>
      <c r="H21" s="507"/>
      <c r="I21" s="99"/>
    </row>
    <row r="22" spans="1:14" ht="26.25" customHeight="1" x14ac:dyDescent="0.4">
      <c r="A22" s="94" t="s">
        <v>37</v>
      </c>
      <c r="B22" s="100" t="s">
        <v>132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42944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508" t="s">
        <v>134</v>
      </c>
      <c r="C26" s="506"/>
    </row>
    <row r="27" spans="1:14" ht="26.25" customHeight="1" x14ac:dyDescent="0.4">
      <c r="A27" s="104" t="s">
        <v>48</v>
      </c>
      <c r="B27" s="509" t="s">
        <v>135</v>
      </c>
      <c r="C27" s="510"/>
    </row>
    <row r="28" spans="1:14" ht="27" customHeight="1" thickBot="1" x14ac:dyDescent="0.45">
      <c r="A28" s="104" t="s">
        <v>6</v>
      </c>
      <c r="B28" s="105">
        <v>99.02</v>
      </c>
    </row>
    <row r="29" spans="1:14" s="60" customFormat="1" ht="27" customHeight="1" thickBot="1" x14ac:dyDescent="0.45">
      <c r="A29" s="104" t="s">
        <v>49</v>
      </c>
      <c r="B29" s="106">
        <v>0</v>
      </c>
      <c r="C29" s="480" t="s">
        <v>50</v>
      </c>
      <c r="D29" s="481"/>
      <c r="E29" s="481"/>
      <c r="F29" s="481"/>
      <c r="G29" s="482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99.02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483" t="s">
        <v>53</v>
      </c>
      <c r="D31" s="484"/>
      <c r="E31" s="484"/>
      <c r="F31" s="484"/>
      <c r="G31" s="484"/>
      <c r="H31" s="485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483" t="s">
        <v>55</v>
      </c>
      <c r="D32" s="484"/>
      <c r="E32" s="484"/>
      <c r="F32" s="484"/>
      <c r="G32" s="484"/>
      <c r="H32" s="485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100</v>
      </c>
      <c r="C36" s="93"/>
      <c r="D36" s="486" t="s">
        <v>59</v>
      </c>
      <c r="E36" s="488"/>
      <c r="F36" s="486" t="s">
        <v>60</v>
      </c>
      <c r="G36" s="487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39260587</v>
      </c>
      <c r="E38" s="128">
        <f>IF(ISBLANK(D38),"-",$D$48/$D$45*D38)</f>
        <v>38824135.771688625</v>
      </c>
      <c r="F38" s="127">
        <v>42767848</v>
      </c>
      <c r="G38" s="129">
        <f>IF(ISBLANK(F38),"-",$D$48/$F$45*F38)</f>
        <v>38736431.377273068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39513240</v>
      </c>
      <c r="E39" s="133">
        <f>IF(ISBLANK(D39),"-",$D$48/$D$45*D39)</f>
        <v>39073980.084386349</v>
      </c>
      <c r="F39" s="132">
        <v>42216225</v>
      </c>
      <c r="G39" s="134">
        <f>IF(ISBLANK(F39),"-",$D$48/$F$45*F39)</f>
        <v>38236805.899609901</v>
      </c>
      <c r="I39" s="468">
        <f>ABS((F43/D43*D42)-F42)/D42</f>
        <v>1.5101602267126394E-2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39458758</v>
      </c>
      <c r="E40" s="133">
        <f>IF(ISBLANK(D40),"-",$D$48/$D$45*D40)</f>
        <v>39020103.748683244</v>
      </c>
      <c r="F40" s="132">
        <v>42316675</v>
      </c>
      <c r="G40" s="134">
        <f>IF(ISBLANK(F40),"-",$D$48/$F$45*F40)</f>
        <v>38327787.20247665</v>
      </c>
      <c r="I40" s="468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39410861.666666664</v>
      </c>
      <c r="E42" s="142">
        <f>AVERAGE(E38:E41)</f>
        <v>38972739.868252739</v>
      </c>
      <c r="F42" s="141">
        <f>AVERAGE(F38:F41)</f>
        <v>42433582.666666664</v>
      </c>
      <c r="G42" s="143">
        <f>AVERAGE(G38:G41)</f>
        <v>38433674.826453209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16.34</v>
      </c>
      <c r="E43" s="93"/>
      <c r="F43" s="145">
        <v>17.84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16.34</v>
      </c>
      <c r="E44" s="148"/>
      <c r="F44" s="147">
        <f>F43*$B$34</f>
        <v>17.84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100</v>
      </c>
      <c r="C45" s="146" t="s">
        <v>77</v>
      </c>
      <c r="D45" s="149">
        <f>D44*$B$30/100</f>
        <v>16.179867999999999</v>
      </c>
      <c r="E45" s="150"/>
      <c r="F45" s="149">
        <f>F44*$B$30/100</f>
        <v>17.665167999999998</v>
      </c>
      <c r="H45" s="84"/>
    </row>
    <row r="46" spans="1:14" ht="19.5" customHeight="1" thickBot="1" x14ac:dyDescent="0.35">
      <c r="A46" s="469" t="s">
        <v>78</v>
      </c>
      <c r="B46" s="473"/>
      <c r="C46" s="146" t="s">
        <v>79</v>
      </c>
      <c r="D46" s="151">
        <f>D45/$B$45</f>
        <v>0.16179868</v>
      </c>
      <c r="E46" s="152"/>
      <c r="F46" s="153">
        <f>F45/$B$45</f>
        <v>0.17665167999999998</v>
      </c>
      <c r="H46" s="84"/>
    </row>
    <row r="47" spans="1:14" ht="27" customHeight="1" thickBot="1" x14ac:dyDescent="0.45">
      <c r="A47" s="471"/>
      <c r="B47" s="474"/>
      <c r="C47" s="154" t="s">
        <v>80</v>
      </c>
      <c r="D47" s="155">
        <v>0.16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16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16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38703207.347352974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9.040179531071238E-3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tablet contains: Sulphamethoxazole B.P. 800 mg and Trimethoprim B.P. 160 mg.</v>
      </c>
    </row>
    <row r="56" spans="1:12" ht="26.25" customHeight="1" x14ac:dyDescent="0.4">
      <c r="A56" s="168" t="s">
        <v>87</v>
      </c>
      <c r="B56" s="169">
        <v>800</v>
      </c>
      <c r="C56" s="93" t="str">
        <f>B20</f>
        <v>Sulfamethoxazole &amp; Trimethoprim</v>
      </c>
      <c r="H56" s="148"/>
    </row>
    <row r="57" spans="1:12" ht="18.75" x14ac:dyDescent="0.3">
      <c r="A57" s="168" t="s">
        <v>88</v>
      </c>
      <c r="B57" s="170">
        <f>Uniformity!C46</f>
        <v>1052.3955000000001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2</v>
      </c>
      <c r="C60" s="489" t="s">
        <v>94</v>
      </c>
      <c r="D60" s="492">
        <v>1046.6300000000001</v>
      </c>
      <c r="E60" s="173">
        <v>1</v>
      </c>
      <c r="F60" s="174">
        <v>38445277</v>
      </c>
      <c r="G60" s="175">
        <f>IF(ISBLANK(F60),"-",(F60/$D$50*$D$47*$B$68)*($B$57/$D$60))</f>
        <v>799.04608533727549</v>
      </c>
      <c r="H60" s="176">
        <f t="shared" ref="H60:H71" si="0">IF(ISBLANK(F60),"-",(G60/$B$56)*100)</f>
        <v>99.880760667159436</v>
      </c>
      <c r="L60" s="107"/>
    </row>
    <row r="61" spans="1:12" s="60" customFormat="1" ht="26.25" customHeight="1" x14ac:dyDescent="0.4">
      <c r="A61" s="119" t="s">
        <v>95</v>
      </c>
      <c r="B61" s="120">
        <v>100</v>
      </c>
      <c r="C61" s="490"/>
      <c r="D61" s="493"/>
      <c r="E61" s="177">
        <v>2</v>
      </c>
      <c r="F61" s="132">
        <v>38441361</v>
      </c>
      <c r="G61" s="178">
        <f>IF(ISBLANK(F61),"-",(F61/$D$50*$D$47*$B$68)*($B$57/$D$60))</f>
        <v>798.96469524948441</v>
      </c>
      <c r="H61" s="179">
        <f t="shared" si="0"/>
        <v>99.870586906185551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490"/>
      <c r="D62" s="493"/>
      <c r="E62" s="177">
        <v>3</v>
      </c>
      <c r="F62" s="180">
        <v>38570612</v>
      </c>
      <c r="G62" s="178">
        <f>IF(ISBLANK(F62),"-",(F62/$D$50*$D$47*$B$68)*($B$57/$D$60))</f>
        <v>801.65104617825853</v>
      </c>
      <c r="H62" s="179">
        <f t="shared" si="0"/>
        <v>100.20638077228232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491"/>
      <c r="D63" s="494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489" t="s">
        <v>99</v>
      </c>
      <c r="D64" s="492">
        <v>1053.49</v>
      </c>
      <c r="E64" s="173">
        <v>1</v>
      </c>
      <c r="F64" s="174">
        <v>38711290</v>
      </c>
      <c r="G64" s="175">
        <f>IF(ISBLANK(F64),"-",(F64/$D$50*$D$47*$B$68)*($B$57/$D$64))</f>
        <v>799.33575363602677</v>
      </c>
      <c r="H64" s="176">
        <f t="shared" si="0"/>
        <v>99.916969204503346</v>
      </c>
    </row>
    <row r="65" spans="1:8" ht="26.25" customHeight="1" x14ac:dyDescent="0.4">
      <c r="A65" s="119" t="s">
        <v>100</v>
      </c>
      <c r="B65" s="120">
        <v>1</v>
      </c>
      <c r="C65" s="490"/>
      <c r="D65" s="493"/>
      <c r="E65" s="177">
        <v>2</v>
      </c>
      <c r="F65" s="132">
        <v>38903041</v>
      </c>
      <c r="G65" s="178">
        <f>IF(ISBLANK(F65),"-",(F65/$D$50*$D$47*$B$68)*($B$57/$D$64))</f>
        <v>803.29515230487664</v>
      </c>
      <c r="H65" s="179">
        <f t="shared" si="0"/>
        <v>100.41189403810958</v>
      </c>
    </row>
    <row r="66" spans="1:8" ht="26.25" customHeight="1" x14ac:dyDescent="0.4">
      <c r="A66" s="119" t="s">
        <v>101</v>
      </c>
      <c r="B66" s="120">
        <v>1</v>
      </c>
      <c r="C66" s="490"/>
      <c r="D66" s="493"/>
      <c r="E66" s="177">
        <v>3</v>
      </c>
      <c r="F66" s="132">
        <v>38788137</v>
      </c>
      <c r="G66" s="178">
        <f>IF(ISBLANK(F66),"-",(F66/$D$50*$D$47*$B$68)*($B$57/$D$64))</f>
        <v>800.92254019518475</v>
      </c>
      <c r="H66" s="179">
        <f t="shared" si="0"/>
        <v>100.11531752439808</v>
      </c>
    </row>
    <row r="67" spans="1:8" ht="27" customHeight="1" thickBot="1" x14ac:dyDescent="0.45">
      <c r="A67" s="119" t="s">
        <v>102</v>
      </c>
      <c r="B67" s="120">
        <v>1</v>
      </c>
      <c r="C67" s="491"/>
      <c r="D67" s="494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5000</v>
      </c>
      <c r="C68" s="489" t="s">
        <v>104</v>
      </c>
      <c r="D68" s="492">
        <v>1051.07</v>
      </c>
      <c r="E68" s="173">
        <v>1</v>
      </c>
      <c r="F68" s="174">
        <v>38504225</v>
      </c>
      <c r="G68" s="175">
        <f>IF(ISBLANK(F68),"-",(F68/$D$50*$D$47*$B$68)*($B$57/$D$68))</f>
        <v>796.890700490021</v>
      </c>
      <c r="H68" s="179">
        <f t="shared" si="0"/>
        <v>99.611337561252626</v>
      </c>
    </row>
    <row r="69" spans="1:8" ht="27" customHeight="1" thickBot="1" x14ac:dyDescent="0.45">
      <c r="A69" s="164" t="s">
        <v>105</v>
      </c>
      <c r="B69" s="186">
        <f>(D47*B68)/B56*B57</f>
        <v>1052.3955000000001</v>
      </c>
      <c r="C69" s="490"/>
      <c r="D69" s="493"/>
      <c r="E69" s="177">
        <v>2</v>
      </c>
      <c r="F69" s="132">
        <v>38488004</v>
      </c>
      <c r="G69" s="178">
        <f>IF(ISBLANK(F69),"-",(F69/$D$50*$D$47*$B$68)*($B$57/$D$68))</f>
        <v>796.55498761558567</v>
      </c>
      <c r="H69" s="179">
        <f t="shared" si="0"/>
        <v>99.569373451948209</v>
      </c>
    </row>
    <row r="70" spans="1:8" ht="26.25" customHeight="1" x14ac:dyDescent="0.4">
      <c r="A70" s="496" t="s">
        <v>78</v>
      </c>
      <c r="B70" s="497"/>
      <c r="C70" s="490"/>
      <c r="D70" s="493"/>
      <c r="E70" s="177">
        <v>3</v>
      </c>
      <c r="F70" s="132">
        <v>38460019</v>
      </c>
      <c r="G70" s="178">
        <f>IF(ISBLANK(F70),"-",(F70/$D$50*$D$47*$B$68)*($B$57/$D$68))</f>
        <v>795.97580477907331</v>
      </c>
      <c r="H70" s="179">
        <f t="shared" si="0"/>
        <v>99.496975597384164</v>
      </c>
    </row>
    <row r="71" spans="1:8" ht="27" customHeight="1" thickBot="1" x14ac:dyDescent="0.45">
      <c r="A71" s="498"/>
      <c r="B71" s="499"/>
      <c r="C71" s="495"/>
      <c r="D71" s="494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799.1818628650874</v>
      </c>
      <c r="H72" s="189">
        <f>AVERAGE(H60:H71)</f>
        <v>99.897732858135925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3.0829496796252183E-3</v>
      </c>
      <c r="H73" s="191">
        <f>STDEV(H60:H71)/H72</f>
        <v>3.0829496796252057E-3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477" t="str">
        <f>B26</f>
        <v>Sulfamethoxazole</v>
      </c>
      <c r="D76" s="477"/>
      <c r="E76" s="93" t="s">
        <v>108</v>
      </c>
      <c r="F76" s="93"/>
      <c r="G76" s="194">
        <f>H72</f>
        <v>99.897732858135925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479" t="str">
        <f>B26</f>
        <v>Sulfamethoxazole</v>
      </c>
      <c r="C79" s="479"/>
    </row>
    <row r="80" spans="1:8" ht="26.25" customHeight="1" x14ac:dyDescent="0.4">
      <c r="A80" s="104" t="s">
        <v>48</v>
      </c>
      <c r="B80" s="479" t="str">
        <f>B27</f>
        <v>S12-6</v>
      </c>
      <c r="C80" s="479"/>
    </row>
    <row r="81" spans="1:12" ht="27" customHeight="1" thickBot="1" x14ac:dyDescent="0.45">
      <c r="A81" s="104" t="s">
        <v>6</v>
      </c>
      <c r="B81" s="105">
        <f>B28</f>
        <v>99.02</v>
      </c>
    </row>
    <row r="82" spans="1:12" s="60" customFormat="1" ht="27" customHeight="1" thickBot="1" x14ac:dyDescent="0.45">
      <c r="A82" s="104" t="s">
        <v>49</v>
      </c>
      <c r="B82" s="106">
        <v>0</v>
      </c>
      <c r="C82" s="480" t="s">
        <v>50</v>
      </c>
      <c r="D82" s="481"/>
      <c r="E82" s="481"/>
      <c r="F82" s="481"/>
      <c r="G82" s="482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99.02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483" t="s">
        <v>111</v>
      </c>
      <c r="D84" s="484"/>
      <c r="E84" s="484"/>
      <c r="F84" s="484"/>
      <c r="G84" s="484"/>
      <c r="H84" s="485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483" t="s">
        <v>112</v>
      </c>
      <c r="D85" s="484"/>
      <c r="E85" s="484"/>
      <c r="F85" s="484"/>
      <c r="G85" s="484"/>
      <c r="H85" s="485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100</v>
      </c>
      <c r="D89" s="195" t="s">
        <v>59</v>
      </c>
      <c r="E89" s="196"/>
      <c r="F89" s="486" t="s">
        <v>60</v>
      </c>
      <c r="G89" s="487"/>
    </row>
    <row r="90" spans="1:12" ht="27" customHeight="1" thickBot="1" x14ac:dyDescent="0.45">
      <c r="A90" s="119" t="s">
        <v>61</v>
      </c>
      <c r="B90" s="120">
        <v>1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1</v>
      </c>
      <c r="C91" s="199">
        <v>1</v>
      </c>
      <c r="D91" s="127">
        <v>39260587</v>
      </c>
      <c r="E91" s="128">
        <f>IF(ISBLANK(D91),"-",$D$101/$D$98*D91)</f>
        <v>43137928.635209583</v>
      </c>
      <c r="F91" s="127">
        <v>42767848</v>
      </c>
      <c r="G91" s="129">
        <f>IF(ISBLANK(F91),"-",$D$101/$F$98*F91)</f>
        <v>43040479.308081187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32">
        <v>39513240</v>
      </c>
      <c r="E92" s="133">
        <f>IF(ISBLANK(D92),"-",$D$101/$D$98*D92)</f>
        <v>43415533.42709595</v>
      </c>
      <c r="F92" s="132">
        <v>42216225</v>
      </c>
      <c r="G92" s="134">
        <f>IF(ISBLANK(F92),"-",$D$101/$F$98*F92)</f>
        <v>42485339.888455451</v>
      </c>
      <c r="I92" s="468">
        <f>ABS((F96/D96*D95)-F95)/D95</f>
        <v>1.5101602267126394E-2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32">
        <v>39458758</v>
      </c>
      <c r="E93" s="133">
        <f>IF(ISBLANK(D93),"-",$D$101/$D$98*D93)</f>
        <v>43355670.831870273</v>
      </c>
      <c r="F93" s="132">
        <v>42316675</v>
      </c>
      <c r="G93" s="134">
        <f>IF(ISBLANK(F93),"-",$D$101/$F$98*F93)</f>
        <v>42586430.224974059</v>
      </c>
      <c r="I93" s="468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202">
        <f>AVERAGE(D91:D94)</f>
        <v>39410861.666666664</v>
      </c>
      <c r="E95" s="142">
        <f>AVERAGE(E91:E94)</f>
        <v>43303044.298058607</v>
      </c>
      <c r="F95" s="203">
        <f>AVERAGE(F91:F94)</f>
        <v>42433582.666666664</v>
      </c>
      <c r="G95" s="204">
        <f>AVERAGE(G91:G94)</f>
        <v>42704083.140503563</v>
      </c>
    </row>
    <row r="96" spans="1:12" ht="26.25" customHeight="1" x14ac:dyDescent="0.4">
      <c r="A96" s="119" t="s">
        <v>72</v>
      </c>
      <c r="B96" s="105">
        <v>1</v>
      </c>
      <c r="C96" s="205" t="s">
        <v>113</v>
      </c>
      <c r="D96" s="206">
        <v>16.34</v>
      </c>
      <c r="E96" s="93"/>
      <c r="F96" s="145">
        <v>17.84</v>
      </c>
    </row>
    <row r="97" spans="1:10" ht="26.25" customHeight="1" x14ac:dyDescent="0.4">
      <c r="A97" s="119" t="s">
        <v>74</v>
      </c>
      <c r="B97" s="105">
        <v>1</v>
      </c>
      <c r="C97" s="207" t="s">
        <v>114</v>
      </c>
      <c r="D97" s="208">
        <f>D96*$B$87</f>
        <v>16.34</v>
      </c>
      <c r="E97" s="148"/>
      <c r="F97" s="147">
        <f>F96*$B$87</f>
        <v>17.84</v>
      </c>
    </row>
    <row r="98" spans="1:10" ht="19.5" customHeight="1" thickBot="1" x14ac:dyDescent="0.35">
      <c r="A98" s="119" t="s">
        <v>76</v>
      </c>
      <c r="B98" s="148">
        <f>(B97/B96)*(B95/B94)*(B93/B92)*(B91/B90)*B89</f>
        <v>100</v>
      </c>
      <c r="C98" s="207" t="s">
        <v>115</v>
      </c>
      <c r="D98" s="209">
        <f>D97*$B$83/100</f>
        <v>16.179867999999999</v>
      </c>
      <c r="E98" s="150"/>
      <c r="F98" s="149">
        <f>F97*$B$83/100</f>
        <v>17.665167999999998</v>
      </c>
    </row>
    <row r="99" spans="1:10" ht="19.5" customHeight="1" thickBot="1" x14ac:dyDescent="0.35">
      <c r="A99" s="469" t="s">
        <v>78</v>
      </c>
      <c r="B99" s="470"/>
      <c r="C99" s="207" t="s">
        <v>116</v>
      </c>
      <c r="D99" s="210">
        <f>D98/$B$98</f>
        <v>0.16179868</v>
      </c>
      <c r="E99" s="150"/>
      <c r="F99" s="153">
        <f>F98/$B$98</f>
        <v>0.17665167999999998</v>
      </c>
      <c r="H99" s="84"/>
    </row>
    <row r="100" spans="1:10" ht="19.5" customHeight="1" thickBot="1" x14ac:dyDescent="0.35">
      <c r="A100" s="471"/>
      <c r="B100" s="472"/>
      <c r="C100" s="207" t="s">
        <v>80</v>
      </c>
      <c r="D100" s="211">
        <f>$B$56/$B$116</f>
        <v>0.17777777777777778</v>
      </c>
      <c r="F100" s="158"/>
      <c r="G100" s="212"/>
      <c r="H100" s="84"/>
    </row>
    <row r="101" spans="1:10" ht="18.75" x14ac:dyDescent="0.3">
      <c r="C101" s="207" t="s">
        <v>81</v>
      </c>
      <c r="D101" s="208">
        <f>D100*$B$98</f>
        <v>17.777777777777779</v>
      </c>
      <c r="F101" s="158"/>
      <c r="H101" s="84"/>
    </row>
    <row r="102" spans="1:10" ht="19.5" customHeight="1" thickBot="1" x14ac:dyDescent="0.35">
      <c r="C102" s="213" t="s">
        <v>82</v>
      </c>
      <c r="D102" s="214">
        <f>D101/B34</f>
        <v>17.777777777777779</v>
      </c>
      <c r="F102" s="162"/>
      <c r="H102" s="84"/>
      <c r="J102" s="215"/>
    </row>
    <row r="103" spans="1:10" ht="18.75" x14ac:dyDescent="0.3">
      <c r="C103" s="216" t="s">
        <v>117</v>
      </c>
      <c r="D103" s="217">
        <f>AVERAGE(E91:E94,G91:G94)</f>
        <v>43003563.719281085</v>
      </c>
      <c r="F103" s="162"/>
      <c r="G103" s="212"/>
      <c r="H103" s="84"/>
      <c r="J103" s="218"/>
    </row>
    <row r="104" spans="1:10" ht="18.75" x14ac:dyDescent="0.3">
      <c r="C104" s="190" t="s">
        <v>84</v>
      </c>
      <c r="D104" s="219">
        <f>STDEV(E91:E94,G91:G94)/D103</f>
        <v>9.0401795310712345E-3</v>
      </c>
      <c r="F104" s="162"/>
      <c r="H104" s="84"/>
      <c r="J104" s="218"/>
    </row>
    <row r="105" spans="1:10" ht="19.5" customHeight="1" thickBot="1" x14ac:dyDescent="0.35">
      <c r="C105" s="192" t="s">
        <v>20</v>
      </c>
      <c r="D105" s="220">
        <f>COUNT(E91:E94,G91:G94)</f>
        <v>6</v>
      </c>
      <c r="F105" s="162"/>
      <c r="H105" s="84"/>
      <c r="J105" s="218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21" t="s">
        <v>121</v>
      </c>
    </row>
    <row r="108" spans="1:10" ht="26.25" customHeight="1" x14ac:dyDescent="0.4">
      <c r="A108" s="119" t="s">
        <v>122</v>
      </c>
      <c r="B108" s="120">
        <v>10</v>
      </c>
      <c r="C108" s="173">
        <v>1</v>
      </c>
      <c r="D108" s="222">
        <v>37514550</v>
      </c>
      <c r="E108" s="223">
        <f t="shared" ref="E108:E113" si="1">IF(ISBLANK(D108),"-",D108/$D$103*$D$100*$B$116)</f>
        <v>697.88727734078407</v>
      </c>
      <c r="F108" s="224">
        <f t="shared" ref="F108:F113" si="2">IF(ISBLANK(D108), "-", (E108/$B$56)*100)</f>
        <v>87.235909667598008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225">
        <v>37575377</v>
      </c>
      <c r="E109" s="226">
        <f t="shared" si="1"/>
        <v>699.01884867560773</v>
      </c>
      <c r="F109" s="227">
        <f t="shared" si="2"/>
        <v>87.377356084450966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225">
        <v>37121008</v>
      </c>
      <c r="E110" s="226">
        <f t="shared" si="1"/>
        <v>690.56617246549581</v>
      </c>
      <c r="F110" s="227">
        <f t="shared" si="2"/>
        <v>86.320771558186976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225">
        <v>37508461</v>
      </c>
      <c r="E111" s="226">
        <f t="shared" si="1"/>
        <v>697.77400300771274</v>
      </c>
      <c r="F111" s="227">
        <f t="shared" si="2"/>
        <v>87.221750375964092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225">
        <v>37142856</v>
      </c>
      <c r="E112" s="226">
        <f t="shared" si="1"/>
        <v>690.97261319943357</v>
      </c>
      <c r="F112" s="227">
        <f t="shared" si="2"/>
        <v>86.371576649929196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228">
        <v>37096346</v>
      </c>
      <c r="E113" s="229">
        <f t="shared" si="1"/>
        <v>690.10738258173672</v>
      </c>
      <c r="F113" s="230">
        <f t="shared" si="2"/>
        <v>86.263422822717089</v>
      </c>
    </row>
    <row r="114" spans="1:10" ht="27" customHeight="1" thickBot="1" x14ac:dyDescent="0.45">
      <c r="A114" s="119" t="s">
        <v>101</v>
      </c>
      <c r="B114" s="120">
        <v>1</v>
      </c>
      <c r="C114" s="231"/>
      <c r="D114" s="148"/>
      <c r="E114" s="93"/>
      <c r="F114" s="227"/>
    </row>
    <row r="115" spans="1:10" ht="26.25" customHeight="1" x14ac:dyDescent="0.4">
      <c r="A115" s="119" t="s">
        <v>102</v>
      </c>
      <c r="B115" s="120">
        <v>1</v>
      </c>
      <c r="C115" s="231"/>
      <c r="D115" s="232" t="s">
        <v>71</v>
      </c>
      <c r="E115" s="233">
        <f>AVERAGE(E108:E113)</f>
        <v>694.38771621179512</v>
      </c>
      <c r="F115" s="234">
        <f>AVERAGE(F108:F113)</f>
        <v>86.79846452647439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4500</v>
      </c>
      <c r="C116" s="235"/>
      <c r="D116" s="236" t="s">
        <v>84</v>
      </c>
      <c r="E116" s="191">
        <f>STDEV(E108:E113)/E115</f>
        <v>6.101397431177857E-3</v>
      </c>
      <c r="F116" s="237">
        <f>STDEV(F108:F113)/F115</f>
        <v>6.101397431177857E-3</v>
      </c>
      <c r="I116" s="93"/>
    </row>
    <row r="117" spans="1:10" ht="27" customHeight="1" thickBot="1" x14ac:dyDescent="0.45">
      <c r="A117" s="469" t="s">
        <v>78</v>
      </c>
      <c r="B117" s="473"/>
      <c r="C117" s="238"/>
      <c r="D117" s="192" t="s">
        <v>20</v>
      </c>
      <c r="E117" s="239">
        <f>COUNT(E108:E113)</f>
        <v>6</v>
      </c>
      <c r="F117" s="240">
        <f>COUNT(F108:F113)</f>
        <v>6</v>
      </c>
      <c r="I117" s="93"/>
      <c r="J117" s="218"/>
    </row>
    <row r="118" spans="1:10" ht="26.25" customHeight="1" thickBot="1" x14ac:dyDescent="0.35">
      <c r="A118" s="471"/>
      <c r="B118" s="474"/>
      <c r="C118" s="93"/>
      <c r="D118" s="241"/>
      <c r="E118" s="475" t="s">
        <v>123</v>
      </c>
      <c r="F118" s="476"/>
      <c r="G118" s="93"/>
      <c r="H118" s="93"/>
      <c r="I118" s="93"/>
    </row>
    <row r="119" spans="1:10" ht="25.5" customHeight="1" x14ac:dyDescent="0.4">
      <c r="A119" s="242"/>
      <c r="B119" s="115"/>
      <c r="C119" s="93"/>
      <c r="D119" s="236" t="s">
        <v>124</v>
      </c>
      <c r="E119" s="243">
        <f>MIN(E108:E113)</f>
        <v>690.10738258173672</v>
      </c>
      <c r="F119" s="244">
        <f>MIN(F108:F113)</f>
        <v>86.263422822717089</v>
      </c>
      <c r="G119" s="93"/>
      <c r="H119" s="93"/>
      <c r="I119" s="93"/>
    </row>
    <row r="120" spans="1:10" ht="24" customHeight="1" thickBot="1" x14ac:dyDescent="0.45">
      <c r="A120" s="242"/>
      <c r="B120" s="115"/>
      <c r="C120" s="93"/>
      <c r="D120" s="159" t="s">
        <v>125</v>
      </c>
      <c r="E120" s="245">
        <f>MAX(E108:E113)</f>
        <v>699.01884867560773</v>
      </c>
      <c r="F120" s="246">
        <f>MAX(F108:F113)</f>
        <v>87.377356084450966</v>
      </c>
      <c r="G120" s="93"/>
      <c r="H120" s="93"/>
      <c r="I120" s="93"/>
    </row>
    <row r="121" spans="1:10" ht="27" customHeight="1" x14ac:dyDescent="0.3">
      <c r="A121" s="242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42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42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477" t="str">
        <f>B26</f>
        <v>Sulfamethoxazole</v>
      </c>
      <c r="D124" s="477"/>
      <c r="E124" s="93" t="s">
        <v>127</v>
      </c>
      <c r="F124" s="93"/>
      <c r="G124" s="247">
        <f>F115</f>
        <v>86.79846452647439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7">
        <f>MIN(F108:F113)</f>
        <v>86.263422822717089</v>
      </c>
      <c r="E125" s="104" t="s">
        <v>130</v>
      </c>
      <c r="F125" s="247">
        <f>MAX(F108:F113)</f>
        <v>87.377356084450966</v>
      </c>
      <c r="G125" s="248"/>
      <c r="H125" s="93"/>
      <c r="I125" s="93"/>
    </row>
    <row r="126" spans="1:10" ht="19.5" customHeight="1" thickBot="1" x14ac:dyDescent="0.35">
      <c r="A126" s="249"/>
      <c r="B126" s="249"/>
      <c r="C126" s="250"/>
      <c r="D126" s="250"/>
      <c r="E126" s="250"/>
      <c r="F126" s="250"/>
      <c r="G126" s="250"/>
      <c r="H126" s="250"/>
    </row>
    <row r="127" spans="1:10" ht="18.75" x14ac:dyDescent="0.3">
      <c r="B127" s="478" t="s">
        <v>26</v>
      </c>
      <c r="C127" s="478"/>
      <c r="E127" s="197" t="s">
        <v>27</v>
      </c>
      <c r="F127" s="251"/>
      <c r="G127" s="478" t="s">
        <v>28</v>
      </c>
      <c r="H127" s="478"/>
    </row>
    <row r="128" spans="1:10" ht="69.95" customHeight="1" x14ac:dyDescent="0.3">
      <c r="A128" s="103" t="s">
        <v>29</v>
      </c>
      <c r="B128" s="252"/>
      <c r="C128" s="252"/>
      <c r="E128" s="252"/>
      <c r="F128" s="93"/>
      <c r="G128" s="252"/>
      <c r="H128" s="252"/>
    </row>
    <row r="129" spans="1:9" ht="69.95" customHeight="1" x14ac:dyDescent="0.3">
      <c r="A129" s="103" t="s">
        <v>30</v>
      </c>
      <c r="B129" s="253"/>
      <c r="C129" s="253"/>
      <c r="E129" s="253"/>
      <c r="F129" s="93"/>
      <c r="G129" s="254"/>
      <c r="H129" s="254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3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55" customWidth="1"/>
    <col min="2" max="2" width="33.7109375" style="255" customWidth="1"/>
    <col min="3" max="3" width="42.28515625" style="255" customWidth="1"/>
    <col min="4" max="4" width="30.5703125" style="255" customWidth="1"/>
    <col min="5" max="5" width="39.85546875" style="255" customWidth="1"/>
    <col min="6" max="6" width="30.7109375" style="255" customWidth="1"/>
    <col min="7" max="7" width="39.85546875" style="255" customWidth="1"/>
    <col min="8" max="8" width="30" style="255" customWidth="1"/>
    <col min="9" max="9" width="30.28515625" style="255" hidden="1" customWidth="1"/>
    <col min="10" max="10" width="30.42578125" style="255" customWidth="1"/>
    <col min="11" max="11" width="21.28515625" style="255" customWidth="1"/>
    <col min="12" max="12" width="9.140625" style="255"/>
    <col min="13" max="16384" width="9.140625" style="257"/>
  </cols>
  <sheetData>
    <row r="1" spans="1:9" ht="18.75" customHeight="1" x14ac:dyDescent="0.25">
      <c r="A1" s="543" t="s">
        <v>45</v>
      </c>
      <c r="B1" s="543"/>
      <c r="C1" s="543"/>
      <c r="D1" s="543"/>
      <c r="E1" s="543"/>
      <c r="F1" s="543"/>
      <c r="G1" s="543"/>
      <c r="H1" s="543"/>
      <c r="I1" s="543"/>
    </row>
    <row r="2" spans="1:9" ht="18.75" customHeight="1" x14ac:dyDescent="0.25">
      <c r="A2" s="543"/>
      <c r="B2" s="543"/>
      <c r="C2" s="543"/>
      <c r="D2" s="543"/>
      <c r="E2" s="543"/>
      <c r="F2" s="543"/>
      <c r="G2" s="543"/>
      <c r="H2" s="543"/>
      <c r="I2" s="543"/>
    </row>
    <row r="3" spans="1:9" ht="18.75" customHeight="1" x14ac:dyDescent="0.25">
      <c r="A3" s="543"/>
      <c r="B3" s="543"/>
      <c r="C3" s="543"/>
      <c r="D3" s="543"/>
      <c r="E3" s="543"/>
      <c r="F3" s="543"/>
      <c r="G3" s="543"/>
      <c r="H3" s="543"/>
      <c r="I3" s="543"/>
    </row>
    <row r="4" spans="1:9" ht="18.75" customHeight="1" x14ac:dyDescent="0.25">
      <c r="A4" s="543"/>
      <c r="B4" s="543"/>
      <c r="C4" s="543"/>
      <c r="D4" s="543"/>
      <c r="E4" s="543"/>
      <c r="F4" s="543"/>
      <c r="G4" s="543"/>
      <c r="H4" s="543"/>
      <c r="I4" s="543"/>
    </row>
    <row r="5" spans="1:9" ht="18.75" customHeight="1" x14ac:dyDescent="0.25">
      <c r="A5" s="543"/>
      <c r="B5" s="543"/>
      <c r="C5" s="543"/>
      <c r="D5" s="543"/>
      <c r="E5" s="543"/>
      <c r="F5" s="543"/>
      <c r="G5" s="543"/>
      <c r="H5" s="543"/>
      <c r="I5" s="543"/>
    </row>
    <row r="6" spans="1:9" ht="18.75" customHeight="1" x14ac:dyDescent="0.25">
      <c r="A6" s="543"/>
      <c r="B6" s="543"/>
      <c r="C6" s="543"/>
      <c r="D6" s="543"/>
      <c r="E6" s="543"/>
      <c r="F6" s="543"/>
      <c r="G6" s="543"/>
      <c r="H6" s="543"/>
      <c r="I6" s="543"/>
    </row>
    <row r="7" spans="1:9" ht="18.75" customHeight="1" x14ac:dyDescent="0.25">
      <c r="A7" s="543"/>
      <c r="B7" s="543"/>
      <c r="C7" s="543"/>
      <c r="D7" s="543"/>
      <c r="E7" s="543"/>
      <c r="F7" s="543"/>
      <c r="G7" s="543"/>
      <c r="H7" s="543"/>
      <c r="I7" s="543"/>
    </row>
    <row r="8" spans="1:9" x14ac:dyDescent="0.25">
      <c r="A8" s="544" t="s">
        <v>46</v>
      </c>
      <c r="B8" s="544"/>
      <c r="C8" s="544"/>
      <c r="D8" s="544"/>
      <c r="E8" s="544"/>
      <c r="F8" s="544"/>
      <c r="G8" s="544"/>
      <c r="H8" s="544"/>
      <c r="I8" s="544"/>
    </row>
    <row r="9" spans="1:9" x14ac:dyDescent="0.25">
      <c r="A9" s="544"/>
      <c r="B9" s="544"/>
      <c r="C9" s="544"/>
      <c r="D9" s="544"/>
      <c r="E9" s="544"/>
      <c r="F9" s="544"/>
      <c r="G9" s="544"/>
      <c r="H9" s="544"/>
      <c r="I9" s="544"/>
    </row>
    <row r="10" spans="1:9" x14ac:dyDescent="0.25">
      <c r="A10" s="544"/>
      <c r="B10" s="544"/>
      <c r="C10" s="544"/>
      <c r="D10" s="544"/>
      <c r="E10" s="544"/>
      <c r="F10" s="544"/>
      <c r="G10" s="544"/>
      <c r="H10" s="544"/>
      <c r="I10" s="544"/>
    </row>
    <row r="11" spans="1:9" x14ac:dyDescent="0.25">
      <c r="A11" s="544"/>
      <c r="B11" s="544"/>
      <c r="C11" s="544"/>
      <c r="D11" s="544"/>
      <c r="E11" s="544"/>
      <c r="F11" s="544"/>
      <c r="G11" s="544"/>
      <c r="H11" s="544"/>
      <c r="I11" s="544"/>
    </row>
    <row r="12" spans="1:9" x14ac:dyDescent="0.25">
      <c r="A12" s="544"/>
      <c r="B12" s="544"/>
      <c r="C12" s="544"/>
      <c r="D12" s="544"/>
      <c r="E12" s="544"/>
      <c r="F12" s="544"/>
      <c r="G12" s="544"/>
      <c r="H12" s="544"/>
      <c r="I12" s="544"/>
    </row>
    <row r="13" spans="1:9" x14ac:dyDescent="0.25">
      <c r="A13" s="544"/>
      <c r="B13" s="544"/>
      <c r="C13" s="544"/>
      <c r="D13" s="544"/>
      <c r="E13" s="544"/>
      <c r="F13" s="544"/>
      <c r="G13" s="544"/>
      <c r="H13" s="544"/>
      <c r="I13" s="544"/>
    </row>
    <row r="14" spans="1:9" x14ac:dyDescent="0.25">
      <c r="A14" s="544"/>
      <c r="B14" s="544"/>
      <c r="C14" s="544"/>
      <c r="D14" s="544"/>
      <c r="E14" s="544"/>
      <c r="F14" s="544"/>
      <c r="G14" s="544"/>
      <c r="H14" s="544"/>
      <c r="I14" s="544"/>
    </row>
    <row r="15" spans="1:9" ht="19.5" customHeight="1" thickBot="1" x14ac:dyDescent="0.35">
      <c r="A15" s="256"/>
    </row>
    <row r="16" spans="1:9" ht="19.5" customHeight="1" thickBot="1" x14ac:dyDescent="0.35">
      <c r="A16" s="545" t="s">
        <v>31</v>
      </c>
      <c r="B16" s="546"/>
      <c r="C16" s="546"/>
      <c r="D16" s="546"/>
      <c r="E16" s="546"/>
      <c r="F16" s="546"/>
      <c r="G16" s="546"/>
      <c r="H16" s="547"/>
    </row>
    <row r="17" spans="1:14" ht="20.25" customHeight="1" x14ac:dyDescent="0.25">
      <c r="A17" s="548" t="s">
        <v>47</v>
      </c>
      <c r="B17" s="548"/>
      <c r="C17" s="548"/>
      <c r="D17" s="548"/>
      <c r="E17" s="548"/>
      <c r="F17" s="548"/>
      <c r="G17" s="548"/>
      <c r="H17" s="548"/>
    </row>
    <row r="18" spans="1:14" ht="26.25" customHeight="1" x14ac:dyDescent="0.4">
      <c r="A18" s="258" t="s">
        <v>33</v>
      </c>
      <c r="B18" s="549" t="s">
        <v>5</v>
      </c>
      <c r="C18" s="549"/>
      <c r="D18" s="259"/>
      <c r="E18" s="260"/>
      <c r="F18" s="261"/>
      <c r="G18" s="261"/>
      <c r="H18" s="261"/>
    </row>
    <row r="19" spans="1:14" ht="26.25" customHeight="1" x14ac:dyDescent="0.4">
      <c r="A19" s="258" t="s">
        <v>34</v>
      </c>
      <c r="B19" s="262" t="s">
        <v>7</v>
      </c>
      <c r="C19" s="261">
        <v>1</v>
      </c>
      <c r="D19" s="261"/>
      <c r="E19" s="261"/>
      <c r="F19" s="261"/>
      <c r="G19" s="261"/>
      <c r="H19" s="261"/>
    </row>
    <row r="20" spans="1:14" ht="26.25" customHeight="1" x14ac:dyDescent="0.4">
      <c r="A20" s="258" t="s">
        <v>35</v>
      </c>
      <c r="B20" s="550" t="s">
        <v>9</v>
      </c>
      <c r="C20" s="550"/>
      <c r="D20" s="261"/>
      <c r="E20" s="261"/>
      <c r="F20" s="261"/>
      <c r="G20" s="261"/>
      <c r="H20" s="261"/>
    </row>
    <row r="21" spans="1:14" ht="26.25" customHeight="1" x14ac:dyDescent="0.4">
      <c r="A21" s="258" t="s">
        <v>36</v>
      </c>
      <c r="B21" s="550" t="s">
        <v>11</v>
      </c>
      <c r="C21" s="550"/>
      <c r="D21" s="550"/>
      <c r="E21" s="550"/>
      <c r="F21" s="550"/>
      <c r="G21" s="550"/>
      <c r="H21" s="550"/>
      <c r="I21" s="263"/>
    </row>
    <row r="22" spans="1:14" ht="26.25" customHeight="1" x14ac:dyDescent="0.4">
      <c r="A22" s="258" t="s">
        <v>37</v>
      </c>
      <c r="B22" s="264" t="s">
        <v>132</v>
      </c>
      <c r="C22" s="261"/>
      <c r="D22" s="261"/>
      <c r="E22" s="261"/>
      <c r="F22" s="261"/>
      <c r="G22" s="261"/>
      <c r="H22" s="261"/>
    </row>
    <row r="23" spans="1:14" ht="26.25" customHeight="1" x14ac:dyDescent="0.4">
      <c r="A23" s="258" t="s">
        <v>38</v>
      </c>
      <c r="B23" s="264">
        <v>42944</v>
      </c>
      <c r="C23" s="261"/>
      <c r="D23" s="261"/>
      <c r="E23" s="261"/>
      <c r="F23" s="261"/>
      <c r="G23" s="261"/>
      <c r="H23" s="261"/>
    </row>
    <row r="24" spans="1:14" ht="18.75" x14ac:dyDescent="0.3">
      <c r="A24" s="258"/>
      <c r="B24" s="265"/>
    </row>
    <row r="25" spans="1:14" ht="18.75" x14ac:dyDescent="0.3">
      <c r="A25" s="266" t="s">
        <v>1</v>
      </c>
      <c r="B25" s="265"/>
    </row>
    <row r="26" spans="1:14" ht="26.25" customHeight="1" x14ac:dyDescent="0.4">
      <c r="A26" s="267" t="s">
        <v>4</v>
      </c>
      <c r="B26" s="551" t="s">
        <v>136</v>
      </c>
      <c r="C26" s="549"/>
    </row>
    <row r="27" spans="1:14" ht="26.25" customHeight="1" x14ac:dyDescent="0.4">
      <c r="A27" s="268" t="s">
        <v>48</v>
      </c>
      <c r="B27" s="552" t="s">
        <v>137</v>
      </c>
      <c r="C27" s="553"/>
    </row>
    <row r="28" spans="1:14" ht="27" customHeight="1" thickBot="1" x14ac:dyDescent="0.45">
      <c r="A28" s="268" t="s">
        <v>6</v>
      </c>
      <c r="B28" s="269">
        <v>99.3</v>
      </c>
    </row>
    <row r="29" spans="1:14" s="271" customFormat="1" ht="27" customHeight="1" thickBot="1" x14ac:dyDescent="0.45">
      <c r="A29" s="268" t="s">
        <v>49</v>
      </c>
      <c r="B29" s="270">
        <v>0</v>
      </c>
      <c r="C29" s="523" t="s">
        <v>50</v>
      </c>
      <c r="D29" s="524"/>
      <c r="E29" s="524"/>
      <c r="F29" s="524"/>
      <c r="G29" s="525"/>
      <c r="I29" s="272"/>
      <c r="J29" s="272"/>
      <c r="K29" s="272"/>
      <c r="L29" s="272"/>
    </row>
    <row r="30" spans="1:14" s="271" customFormat="1" ht="19.5" customHeight="1" thickBot="1" x14ac:dyDescent="0.35">
      <c r="A30" s="268" t="s">
        <v>51</v>
      </c>
      <c r="B30" s="273">
        <f>B28-B29</f>
        <v>99.3</v>
      </c>
      <c r="C30" s="274"/>
      <c r="D30" s="274"/>
      <c r="E30" s="274"/>
      <c r="F30" s="274"/>
      <c r="G30" s="275"/>
      <c r="I30" s="272"/>
      <c r="J30" s="272"/>
      <c r="K30" s="272"/>
      <c r="L30" s="272"/>
    </row>
    <row r="31" spans="1:14" s="271" customFormat="1" ht="27" customHeight="1" thickBot="1" x14ac:dyDescent="0.45">
      <c r="A31" s="268" t="s">
        <v>52</v>
      </c>
      <c r="B31" s="276">
        <v>1</v>
      </c>
      <c r="C31" s="526" t="s">
        <v>53</v>
      </c>
      <c r="D31" s="527"/>
      <c r="E31" s="527"/>
      <c r="F31" s="527"/>
      <c r="G31" s="527"/>
      <c r="H31" s="528"/>
      <c r="I31" s="272"/>
      <c r="J31" s="272"/>
      <c r="K31" s="272"/>
      <c r="L31" s="272"/>
    </row>
    <row r="32" spans="1:14" s="271" customFormat="1" ht="27" customHeight="1" thickBot="1" x14ac:dyDescent="0.45">
      <c r="A32" s="268" t="s">
        <v>54</v>
      </c>
      <c r="B32" s="276">
        <v>1</v>
      </c>
      <c r="C32" s="526" t="s">
        <v>55</v>
      </c>
      <c r="D32" s="527"/>
      <c r="E32" s="527"/>
      <c r="F32" s="527"/>
      <c r="G32" s="527"/>
      <c r="H32" s="528"/>
      <c r="I32" s="272"/>
      <c r="J32" s="272"/>
      <c r="K32" s="272"/>
      <c r="L32" s="277"/>
      <c r="M32" s="277"/>
      <c r="N32" s="278"/>
    </row>
    <row r="33" spans="1:14" s="271" customFormat="1" ht="17.25" customHeight="1" x14ac:dyDescent="0.3">
      <c r="A33" s="268"/>
      <c r="B33" s="279"/>
      <c r="C33" s="280"/>
      <c r="D33" s="280"/>
      <c r="E33" s="280"/>
      <c r="F33" s="280"/>
      <c r="G33" s="280"/>
      <c r="H33" s="280"/>
      <c r="I33" s="272"/>
      <c r="J33" s="272"/>
      <c r="K33" s="272"/>
      <c r="L33" s="277"/>
      <c r="M33" s="277"/>
      <c r="N33" s="278"/>
    </row>
    <row r="34" spans="1:14" s="271" customFormat="1" ht="18.75" x14ac:dyDescent="0.3">
      <c r="A34" s="268" t="s">
        <v>56</v>
      </c>
      <c r="B34" s="281">
        <f>B31/B32</f>
        <v>1</v>
      </c>
      <c r="C34" s="256" t="s">
        <v>57</v>
      </c>
      <c r="D34" s="256"/>
      <c r="E34" s="256"/>
      <c r="F34" s="256"/>
      <c r="G34" s="256"/>
      <c r="I34" s="272"/>
      <c r="J34" s="272"/>
      <c r="K34" s="272"/>
      <c r="L34" s="277"/>
      <c r="M34" s="277"/>
      <c r="N34" s="278"/>
    </row>
    <row r="35" spans="1:14" s="271" customFormat="1" ht="19.5" customHeight="1" thickBot="1" x14ac:dyDescent="0.35">
      <c r="A35" s="268"/>
      <c r="B35" s="273"/>
      <c r="G35" s="256"/>
      <c r="I35" s="272"/>
      <c r="J35" s="272"/>
      <c r="K35" s="272"/>
      <c r="L35" s="277"/>
      <c r="M35" s="277"/>
      <c r="N35" s="278"/>
    </row>
    <row r="36" spans="1:14" s="271" customFormat="1" ht="27" customHeight="1" thickBot="1" x14ac:dyDescent="0.45">
      <c r="A36" s="282" t="s">
        <v>58</v>
      </c>
      <c r="B36" s="283">
        <v>25</v>
      </c>
      <c r="C36" s="256"/>
      <c r="D36" s="529" t="s">
        <v>59</v>
      </c>
      <c r="E36" s="531"/>
      <c r="F36" s="529" t="s">
        <v>60</v>
      </c>
      <c r="G36" s="530"/>
      <c r="J36" s="272"/>
      <c r="K36" s="272"/>
      <c r="L36" s="277"/>
      <c r="M36" s="277"/>
      <c r="N36" s="278"/>
    </row>
    <row r="37" spans="1:14" s="271" customFormat="1" ht="27" customHeight="1" thickBot="1" x14ac:dyDescent="0.45">
      <c r="A37" s="284" t="s">
        <v>61</v>
      </c>
      <c r="B37" s="285">
        <v>4</v>
      </c>
      <c r="C37" s="286" t="s">
        <v>62</v>
      </c>
      <c r="D37" s="287" t="s">
        <v>63</v>
      </c>
      <c r="E37" s="288" t="s">
        <v>64</v>
      </c>
      <c r="F37" s="287" t="s">
        <v>63</v>
      </c>
      <c r="G37" s="289" t="s">
        <v>64</v>
      </c>
      <c r="I37" s="290" t="s">
        <v>65</v>
      </c>
      <c r="J37" s="272"/>
      <c r="K37" s="272"/>
      <c r="L37" s="277"/>
      <c r="M37" s="277"/>
      <c r="N37" s="278"/>
    </row>
    <row r="38" spans="1:14" s="271" customFormat="1" ht="26.25" customHeight="1" x14ac:dyDescent="0.4">
      <c r="A38" s="284" t="s">
        <v>66</v>
      </c>
      <c r="B38" s="285">
        <v>100</v>
      </c>
      <c r="C38" s="291">
        <v>1</v>
      </c>
      <c r="D38" s="292">
        <v>3001441</v>
      </c>
      <c r="E38" s="293">
        <f>IF(ISBLANK(D38),"-",$D$48/$D$45*D38)</f>
        <v>2888293.5445394404</v>
      </c>
      <c r="F38" s="292">
        <v>2653414</v>
      </c>
      <c r="G38" s="294">
        <f>IF(ISBLANK(F38),"-",$D$48/$F$45*F38)</f>
        <v>2962437.7292935248</v>
      </c>
      <c r="I38" s="295"/>
      <c r="J38" s="272"/>
      <c r="K38" s="272"/>
      <c r="L38" s="277"/>
      <c r="M38" s="277"/>
      <c r="N38" s="278"/>
    </row>
    <row r="39" spans="1:14" s="271" customFormat="1" ht="26.25" customHeight="1" x14ac:dyDescent="0.4">
      <c r="A39" s="284" t="s">
        <v>67</v>
      </c>
      <c r="B39" s="285">
        <v>1</v>
      </c>
      <c r="C39" s="296">
        <v>2</v>
      </c>
      <c r="D39" s="297">
        <v>3017734</v>
      </c>
      <c r="E39" s="298">
        <f>IF(ISBLANK(D39),"-",$D$48/$D$45*D39)</f>
        <v>2903972.3357337969</v>
      </c>
      <c r="F39" s="297">
        <v>2617387</v>
      </c>
      <c r="G39" s="299">
        <f>IF(ISBLANK(F39),"-",$D$48/$F$45*F39)</f>
        <v>2922214.9279993214</v>
      </c>
      <c r="I39" s="511">
        <f>ABS((F43/D43*D42)-F42)/D42</f>
        <v>1.1825041038385409E-2</v>
      </c>
      <c r="J39" s="272"/>
      <c r="K39" s="272"/>
      <c r="L39" s="277"/>
      <c r="M39" s="277"/>
      <c r="N39" s="278"/>
    </row>
    <row r="40" spans="1:14" ht="26.25" customHeight="1" x14ac:dyDescent="0.4">
      <c r="A40" s="284" t="s">
        <v>68</v>
      </c>
      <c r="B40" s="285">
        <v>1</v>
      </c>
      <c r="C40" s="296">
        <v>3</v>
      </c>
      <c r="D40" s="297">
        <v>3012765</v>
      </c>
      <c r="E40" s="298">
        <f>IF(ISBLANK(D40),"-",$D$48/$D$45*D40)</f>
        <v>2899190.6556598535</v>
      </c>
      <c r="F40" s="297">
        <v>2620818</v>
      </c>
      <c r="G40" s="299">
        <f>IF(ISBLANK(F40),"-",$D$48/$F$45*F40)</f>
        <v>2926045.5114850518</v>
      </c>
      <c r="I40" s="511"/>
      <c r="L40" s="277"/>
      <c r="M40" s="277"/>
      <c r="N40" s="256"/>
    </row>
    <row r="41" spans="1:14" ht="27" customHeight="1" thickBot="1" x14ac:dyDescent="0.45">
      <c r="A41" s="284" t="s">
        <v>69</v>
      </c>
      <c r="B41" s="285">
        <v>1</v>
      </c>
      <c r="C41" s="300">
        <v>4</v>
      </c>
      <c r="D41" s="301"/>
      <c r="E41" s="302" t="str">
        <f>IF(ISBLANK(D41),"-",$D$48/$D$45*D41)</f>
        <v>-</v>
      </c>
      <c r="F41" s="301"/>
      <c r="G41" s="303" t="str">
        <f>IF(ISBLANK(F41),"-",$D$48/$F$45*F41)</f>
        <v>-</v>
      </c>
      <c r="I41" s="304"/>
      <c r="L41" s="277"/>
      <c r="M41" s="277"/>
      <c r="N41" s="256"/>
    </row>
    <row r="42" spans="1:14" ht="27" customHeight="1" thickBot="1" x14ac:dyDescent="0.45">
      <c r="A42" s="284" t="s">
        <v>70</v>
      </c>
      <c r="B42" s="285">
        <v>1</v>
      </c>
      <c r="C42" s="305" t="s">
        <v>71</v>
      </c>
      <c r="D42" s="306">
        <f>AVERAGE(D38:D41)</f>
        <v>3010646.6666666665</v>
      </c>
      <c r="E42" s="307">
        <f>AVERAGE(E38:E41)</f>
        <v>2897152.1786443642</v>
      </c>
      <c r="F42" s="306">
        <f>AVERAGE(F38:F41)</f>
        <v>2630539.6666666665</v>
      </c>
      <c r="G42" s="308">
        <f>AVERAGE(G38:G41)</f>
        <v>2936899.3895926327</v>
      </c>
      <c r="H42" s="309"/>
    </row>
    <row r="43" spans="1:14" ht="26.25" customHeight="1" x14ac:dyDescent="0.4">
      <c r="A43" s="284" t="s">
        <v>72</v>
      </c>
      <c r="B43" s="285">
        <v>1</v>
      </c>
      <c r="C43" s="310" t="s">
        <v>73</v>
      </c>
      <c r="D43" s="311">
        <v>20.93</v>
      </c>
      <c r="E43" s="256"/>
      <c r="F43" s="311">
        <v>18.04</v>
      </c>
      <c r="H43" s="309"/>
    </row>
    <row r="44" spans="1:14" ht="26.25" customHeight="1" x14ac:dyDescent="0.4">
      <c r="A44" s="284" t="s">
        <v>74</v>
      </c>
      <c r="B44" s="285">
        <v>1</v>
      </c>
      <c r="C44" s="312" t="s">
        <v>75</v>
      </c>
      <c r="D44" s="313">
        <f>D43*$B$34</f>
        <v>20.93</v>
      </c>
      <c r="E44" s="314"/>
      <c r="F44" s="313">
        <f>F43*$B$34</f>
        <v>18.04</v>
      </c>
      <c r="H44" s="309"/>
    </row>
    <row r="45" spans="1:14" ht="19.5" customHeight="1" thickBot="1" x14ac:dyDescent="0.35">
      <c r="A45" s="284" t="s">
        <v>76</v>
      </c>
      <c r="B45" s="296">
        <f>(B44/B43)*(B42/B41)*(B40/B39)*(B38/B37)*B36</f>
        <v>625</v>
      </c>
      <c r="C45" s="312" t="s">
        <v>77</v>
      </c>
      <c r="D45" s="315">
        <f>D44*$B$30/100</f>
        <v>20.783489999999997</v>
      </c>
      <c r="E45" s="316"/>
      <c r="F45" s="315">
        <f>F44*$B$30/100</f>
        <v>17.913719999999998</v>
      </c>
      <c r="H45" s="309"/>
    </row>
    <row r="46" spans="1:14" ht="19.5" customHeight="1" thickBot="1" x14ac:dyDescent="0.35">
      <c r="A46" s="512" t="s">
        <v>78</v>
      </c>
      <c r="B46" s="516"/>
      <c r="C46" s="312" t="s">
        <v>79</v>
      </c>
      <c r="D46" s="317">
        <f>D45/$B$45</f>
        <v>3.3253583999999996E-2</v>
      </c>
      <c r="E46" s="318"/>
      <c r="F46" s="319">
        <f>F45/$B$45</f>
        <v>2.8661951999999997E-2</v>
      </c>
      <c r="H46" s="309"/>
    </row>
    <row r="47" spans="1:14" ht="27" customHeight="1" thickBot="1" x14ac:dyDescent="0.45">
      <c r="A47" s="514"/>
      <c r="B47" s="517"/>
      <c r="C47" s="320" t="s">
        <v>80</v>
      </c>
      <c r="D47" s="321">
        <v>3.2000000000000001E-2</v>
      </c>
      <c r="E47" s="322"/>
      <c r="F47" s="318"/>
      <c r="H47" s="309"/>
    </row>
    <row r="48" spans="1:14" ht="18.75" x14ac:dyDescent="0.3">
      <c r="C48" s="323" t="s">
        <v>81</v>
      </c>
      <c r="D48" s="315">
        <f>D47*$B$45</f>
        <v>20</v>
      </c>
      <c r="F48" s="324"/>
      <c r="H48" s="309"/>
    </row>
    <row r="49" spans="1:12" ht="19.5" customHeight="1" thickBot="1" x14ac:dyDescent="0.35">
      <c r="C49" s="325" t="s">
        <v>82</v>
      </c>
      <c r="D49" s="326">
        <f>D48/B34</f>
        <v>20</v>
      </c>
      <c r="F49" s="324"/>
      <c r="H49" s="309"/>
    </row>
    <row r="50" spans="1:12" ht="18.75" x14ac:dyDescent="0.3">
      <c r="C50" s="282" t="s">
        <v>83</v>
      </c>
      <c r="D50" s="327">
        <f>AVERAGE(E38:E41,G38:G41)</f>
        <v>2917025.7841184982</v>
      </c>
      <c r="F50" s="328"/>
      <c r="H50" s="309"/>
    </row>
    <row r="51" spans="1:12" ht="18.75" x14ac:dyDescent="0.3">
      <c r="C51" s="284" t="s">
        <v>84</v>
      </c>
      <c r="D51" s="329">
        <f>STDEV(E38:E41,G38:G41)/D50</f>
        <v>9.049993982402766E-3</v>
      </c>
      <c r="F51" s="328"/>
      <c r="H51" s="309"/>
    </row>
    <row r="52" spans="1:12" ht="19.5" customHeight="1" thickBot="1" x14ac:dyDescent="0.35">
      <c r="C52" s="330" t="s">
        <v>20</v>
      </c>
      <c r="D52" s="331">
        <f>COUNT(E38:E41,G38:G41)</f>
        <v>6</v>
      </c>
      <c r="F52" s="328"/>
    </row>
    <row r="54" spans="1:12" ht="18.75" x14ac:dyDescent="0.3">
      <c r="A54" s="332" t="s">
        <v>1</v>
      </c>
      <c r="B54" s="333" t="s">
        <v>85</v>
      </c>
    </row>
    <row r="55" spans="1:12" ht="18.75" x14ac:dyDescent="0.3">
      <c r="A55" s="256" t="s">
        <v>86</v>
      </c>
      <c r="B55" s="334" t="str">
        <f>B21</f>
        <v>Each tablet contains: Sulphamethoxazole B.P. 800 mg and Trimethoprim B.P. 160 mg.</v>
      </c>
    </row>
    <row r="56" spans="1:12" ht="26.25" customHeight="1" x14ac:dyDescent="0.4">
      <c r="A56" s="334" t="s">
        <v>87</v>
      </c>
      <c r="B56" s="335">
        <v>160</v>
      </c>
      <c r="C56" s="256" t="str">
        <f>B20</f>
        <v>Sulfamethoxazole &amp; Trimethoprim</v>
      </c>
      <c r="H56" s="314"/>
    </row>
    <row r="57" spans="1:12" ht="18.75" x14ac:dyDescent="0.3">
      <c r="A57" s="334" t="s">
        <v>88</v>
      </c>
      <c r="B57" s="336">
        <f>Uniformity!C46</f>
        <v>1052.3955000000001</v>
      </c>
      <c r="H57" s="314"/>
    </row>
    <row r="58" spans="1:12" ht="19.5" customHeight="1" thickBot="1" x14ac:dyDescent="0.35">
      <c r="H58" s="314"/>
    </row>
    <row r="59" spans="1:12" s="271" customFormat="1" ht="27" customHeight="1" thickBot="1" x14ac:dyDescent="0.45">
      <c r="A59" s="282" t="s">
        <v>89</v>
      </c>
      <c r="B59" s="283">
        <v>100</v>
      </c>
      <c r="C59" s="256"/>
      <c r="D59" s="337" t="s">
        <v>90</v>
      </c>
      <c r="E59" s="338" t="s">
        <v>62</v>
      </c>
      <c r="F59" s="338" t="s">
        <v>63</v>
      </c>
      <c r="G59" s="338" t="s">
        <v>91</v>
      </c>
      <c r="H59" s="286" t="s">
        <v>92</v>
      </c>
      <c r="L59" s="272"/>
    </row>
    <row r="60" spans="1:12" s="271" customFormat="1" ht="26.25" customHeight="1" x14ac:dyDescent="0.4">
      <c r="A60" s="284" t="s">
        <v>93</v>
      </c>
      <c r="B60" s="285">
        <v>2</v>
      </c>
      <c r="C60" s="532" t="s">
        <v>94</v>
      </c>
      <c r="D60" s="535">
        <f>Sulfamethoxazole!D60</f>
        <v>1046.6300000000001</v>
      </c>
      <c r="E60" s="339">
        <v>1</v>
      </c>
      <c r="F60" s="340">
        <v>2935066</v>
      </c>
      <c r="G60" s="341">
        <f>IF(ISBLANK(F60),"-",(F60/$D$50*$D$47*$B$68)*($B$57/$D$60))</f>
        <v>161.8763449226191</v>
      </c>
      <c r="H60" s="342">
        <f t="shared" ref="H60:H71" si="0">IF(ISBLANK(F60),"-",(G60/$B$56)*100)</f>
        <v>101.17271557663695</v>
      </c>
      <c r="L60" s="272"/>
    </row>
    <row r="61" spans="1:12" s="271" customFormat="1" ht="26.25" customHeight="1" x14ac:dyDescent="0.4">
      <c r="A61" s="284" t="s">
        <v>95</v>
      </c>
      <c r="B61" s="285">
        <v>100</v>
      </c>
      <c r="C61" s="533"/>
      <c r="D61" s="536"/>
      <c r="E61" s="343">
        <v>2</v>
      </c>
      <c r="F61" s="297">
        <v>2940578</v>
      </c>
      <c r="G61" s="344">
        <f>IF(ISBLANK(F61),"-",(F61/$D$50*$D$47*$B$68)*($B$57/$D$60))</f>
        <v>162.18034572301454</v>
      </c>
      <c r="H61" s="345">
        <f t="shared" si="0"/>
        <v>101.3627160768841</v>
      </c>
      <c r="L61" s="272"/>
    </row>
    <row r="62" spans="1:12" s="271" customFormat="1" ht="26.25" customHeight="1" x14ac:dyDescent="0.4">
      <c r="A62" s="284" t="s">
        <v>96</v>
      </c>
      <c r="B62" s="285">
        <v>1</v>
      </c>
      <c r="C62" s="533"/>
      <c r="D62" s="536"/>
      <c r="E62" s="343">
        <v>3</v>
      </c>
      <c r="F62" s="346">
        <v>2948463</v>
      </c>
      <c r="G62" s="344">
        <f>IF(ISBLANK(F62),"-",(F62/$D$50*$D$47*$B$68)*($B$57/$D$60))</f>
        <v>162.61522350079358</v>
      </c>
      <c r="H62" s="345">
        <f t="shared" si="0"/>
        <v>101.63451468799597</v>
      </c>
      <c r="L62" s="272"/>
    </row>
    <row r="63" spans="1:12" ht="27" customHeight="1" thickBot="1" x14ac:dyDescent="0.45">
      <c r="A63" s="284" t="s">
        <v>97</v>
      </c>
      <c r="B63" s="285">
        <v>1</v>
      </c>
      <c r="C63" s="534"/>
      <c r="D63" s="537"/>
      <c r="E63" s="347">
        <v>4</v>
      </c>
      <c r="F63" s="348"/>
      <c r="G63" s="344" t="str">
        <f>IF(ISBLANK(F63),"-",(F63/$D$50*$D$47*$B$68)*($B$57/$D$60))</f>
        <v>-</v>
      </c>
      <c r="H63" s="345" t="str">
        <f t="shared" si="0"/>
        <v>-</v>
      </c>
    </row>
    <row r="64" spans="1:12" ht="26.25" customHeight="1" x14ac:dyDescent="0.4">
      <c r="A64" s="284" t="s">
        <v>98</v>
      </c>
      <c r="B64" s="285">
        <v>1</v>
      </c>
      <c r="C64" s="532" t="s">
        <v>99</v>
      </c>
      <c r="D64" s="535">
        <f>Sulfamethoxazole!D64</f>
        <v>1053.49</v>
      </c>
      <c r="E64" s="339">
        <v>1</v>
      </c>
      <c r="F64" s="340">
        <v>2924870</v>
      </c>
      <c r="G64" s="341">
        <f>IF(ISBLANK(F64),"-",(F64/$D$50*$D$47*$B$68)*($B$57/$D$64))</f>
        <v>160.26358284724699</v>
      </c>
      <c r="H64" s="342">
        <f t="shared" si="0"/>
        <v>100.16473927952939</v>
      </c>
    </row>
    <row r="65" spans="1:8" ht="26.25" customHeight="1" x14ac:dyDescent="0.4">
      <c r="A65" s="284" t="s">
        <v>100</v>
      </c>
      <c r="B65" s="285">
        <v>1</v>
      </c>
      <c r="C65" s="533"/>
      <c r="D65" s="536"/>
      <c r="E65" s="343">
        <v>2</v>
      </c>
      <c r="F65" s="297">
        <v>2948460</v>
      </c>
      <c r="G65" s="344">
        <f>IF(ISBLANK(F65),"-",(F65/$D$50*$D$47*$B$68)*($B$57/$D$64))</f>
        <v>161.55615924187876</v>
      </c>
      <c r="H65" s="345">
        <f t="shared" si="0"/>
        <v>100.97259952617424</v>
      </c>
    </row>
    <row r="66" spans="1:8" ht="26.25" customHeight="1" x14ac:dyDescent="0.4">
      <c r="A66" s="284" t="s">
        <v>101</v>
      </c>
      <c r="B66" s="285">
        <v>1</v>
      </c>
      <c r="C66" s="533"/>
      <c r="D66" s="536"/>
      <c r="E66" s="343">
        <v>3</v>
      </c>
      <c r="F66" s="297">
        <v>2932993</v>
      </c>
      <c r="G66" s="344">
        <f>IF(ISBLANK(F66),"-",(F66/$D$50*$D$47*$B$68)*($B$57/$D$64))</f>
        <v>160.70866966596654</v>
      </c>
      <c r="H66" s="345">
        <f t="shared" si="0"/>
        <v>100.44291854122909</v>
      </c>
    </row>
    <row r="67" spans="1:8" ht="27" customHeight="1" thickBot="1" x14ac:dyDescent="0.45">
      <c r="A67" s="284" t="s">
        <v>102</v>
      </c>
      <c r="B67" s="285">
        <v>1</v>
      </c>
      <c r="C67" s="534"/>
      <c r="D67" s="537"/>
      <c r="E67" s="347">
        <v>4</v>
      </c>
      <c r="F67" s="348"/>
      <c r="G67" s="349" t="str">
        <f>IF(ISBLANK(F67),"-",(F67/$D$50*$D$47*$B$68)*($B$57/$D$64))</f>
        <v>-</v>
      </c>
      <c r="H67" s="350" t="str">
        <f t="shared" si="0"/>
        <v>-</v>
      </c>
    </row>
    <row r="68" spans="1:8" ht="26.25" customHeight="1" x14ac:dyDescent="0.4">
      <c r="A68" s="284" t="s">
        <v>103</v>
      </c>
      <c r="B68" s="351">
        <f>(B67/B66)*(B65/B64)*(B63/B62)*(B61/B60)*B59</f>
        <v>5000</v>
      </c>
      <c r="C68" s="532" t="s">
        <v>104</v>
      </c>
      <c r="D68" s="535">
        <f>Sulfamethoxazole!D68</f>
        <v>1051.07</v>
      </c>
      <c r="E68" s="339">
        <v>1</v>
      </c>
      <c r="F68" s="340">
        <v>2906341</v>
      </c>
      <c r="G68" s="341">
        <f>IF(ISBLANK(F68),"-",(F68/$D$50*$D$47*$B$68)*($B$57/$D$68))</f>
        <v>159.61497168111043</v>
      </c>
      <c r="H68" s="345">
        <f t="shared" si="0"/>
        <v>99.75935730069402</v>
      </c>
    </row>
    <row r="69" spans="1:8" ht="27" customHeight="1" thickBot="1" x14ac:dyDescent="0.45">
      <c r="A69" s="330" t="s">
        <v>105</v>
      </c>
      <c r="B69" s="352">
        <f>(D47*B68)/B56*B57</f>
        <v>1052.3955000000001</v>
      </c>
      <c r="C69" s="533"/>
      <c r="D69" s="536"/>
      <c r="E69" s="343">
        <v>2</v>
      </c>
      <c r="F69" s="297">
        <v>2904865</v>
      </c>
      <c r="G69" s="344">
        <f>IF(ISBLANK(F69),"-",(F69/$D$50*$D$47*$B$68)*($B$57/$D$68))</f>
        <v>159.53391040915326</v>
      </c>
      <c r="H69" s="345">
        <f t="shared" si="0"/>
        <v>99.708694005720787</v>
      </c>
    </row>
    <row r="70" spans="1:8" ht="26.25" customHeight="1" x14ac:dyDescent="0.4">
      <c r="A70" s="539" t="s">
        <v>78</v>
      </c>
      <c r="B70" s="540"/>
      <c r="C70" s="533"/>
      <c r="D70" s="536"/>
      <c r="E70" s="343">
        <v>3</v>
      </c>
      <c r="F70" s="297">
        <v>2905306</v>
      </c>
      <c r="G70" s="344">
        <f>IF(ISBLANK(F70),"-",(F70/$D$50*$D$47*$B$68)*($B$57/$D$68))</f>
        <v>159.5581299355307</v>
      </c>
      <c r="H70" s="345">
        <f t="shared" si="0"/>
        <v>99.723831209706688</v>
      </c>
    </row>
    <row r="71" spans="1:8" ht="27" customHeight="1" thickBot="1" x14ac:dyDescent="0.45">
      <c r="A71" s="541"/>
      <c r="B71" s="542"/>
      <c r="C71" s="538"/>
      <c r="D71" s="537"/>
      <c r="E71" s="347">
        <v>4</v>
      </c>
      <c r="F71" s="348"/>
      <c r="G71" s="349" t="str">
        <f>IF(ISBLANK(F71),"-",(F71/$D$50*$D$47*$B$68)*($B$57/$D$68))</f>
        <v>-</v>
      </c>
      <c r="H71" s="350" t="str">
        <f t="shared" si="0"/>
        <v>-</v>
      </c>
    </row>
    <row r="72" spans="1:8" ht="26.25" customHeight="1" x14ac:dyDescent="0.4">
      <c r="A72" s="314"/>
      <c r="B72" s="314"/>
      <c r="C72" s="314"/>
      <c r="D72" s="314"/>
      <c r="E72" s="314"/>
      <c r="F72" s="353" t="s">
        <v>71</v>
      </c>
      <c r="G72" s="354">
        <f>AVERAGE(G60:G71)</f>
        <v>160.87859310303489</v>
      </c>
      <c r="H72" s="355">
        <f>AVERAGE(H60:H71)</f>
        <v>100.54912068939679</v>
      </c>
    </row>
    <row r="73" spans="1:8" ht="26.25" customHeight="1" x14ac:dyDescent="0.4">
      <c r="C73" s="314"/>
      <c r="D73" s="314"/>
      <c r="E73" s="314"/>
      <c r="F73" s="356" t="s">
        <v>84</v>
      </c>
      <c r="G73" s="357">
        <f>STDEV(G60:G71)/G72</f>
        <v>7.5237338739250923E-3</v>
      </c>
      <c r="H73" s="357">
        <f>STDEV(H60:H71)/H72</f>
        <v>7.5237338739251036E-3</v>
      </c>
    </row>
    <row r="74" spans="1:8" ht="27" customHeight="1" thickBot="1" x14ac:dyDescent="0.45">
      <c r="A74" s="314"/>
      <c r="B74" s="314"/>
      <c r="C74" s="314"/>
      <c r="D74" s="314"/>
      <c r="E74" s="316"/>
      <c r="F74" s="358" t="s">
        <v>20</v>
      </c>
      <c r="G74" s="359">
        <f>COUNT(G60:G71)</f>
        <v>9</v>
      </c>
      <c r="H74" s="359">
        <f>COUNT(H60:H71)</f>
        <v>9</v>
      </c>
    </row>
    <row r="76" spans="1:8" ht="26.25" customHeight="1" x14ac:dyDescent="0.4">
      <c r="A76" s="267" t="s">
        <v>106</v>
      </c>
      <c r="B76" s="268" t="s">
        <v>107</v>
      </c>
      <c r="C76" s="520" t="str">
        <f>B26</f>
        <v>Trimethoprim</v>
      </c>
      <c r="D76" s="520"/>
      <c r="E76" s="256" t="s">
        <v>108</v>
      </c>
      <c r="F76" s="256"/>
      <c r="G76" s="360">
        <f>H72</f>
        <v>100.54912068939679</v>
      </c>
      <c r="H76" s="273"/>
    </row>
    <row r="77" spans="1:8" ht="18.75" x14ac:dyDescent="0.3">
      <c r="A77" s="266" t="s">
        <v>109</v>
      </c>
      <c r="B77" s="266" t="s">
        <v>110</v>
      </c>
    </row>
    <row r="78" spans="1:8" ht="18.75" x14ac:dyDescent="0.3">
      <c r="A78" s="266"/>
      <c r="B78" s="266"/>
    </row>
    <row r="79" spans="1:8" ht="26.25" customHeight="1" x14ac:dyDescent="0.4">
      <c r="A79" s="267" t="s">
        <v>4</v>
      </c>
      <c r="B79" s="522" t="str">
        <f>B26</f>
        <v>Trimethoprim</v>
      </c>
      <c r="C79" s="522"/>
    </row>
    <row r="80" spans="1:8" ht="26.25" customHeight="1" x14ac:dyDescent="0.4">
      <c r="A80" s="268" t="s">
        <v>48</v>
      </c>
      <c r="B80" s="522" t="str">
        <f>B27</f>
        <v>T7-4</v>
      </c>
      <c r="C80" s="522"/>
    </row>
    <row r="81" spans="1:12" ht="27" customHeight="1" thickBot="1" x14ac:dyDescent="0.45">
      <c r="A81" s="268" t="s">
        <v>6</v>
      </c>
      <c r="B81" s="269">
        <f>B28</f>
        <v>99.3</v>
      </c>
    </row>
    <row r="82" spans="1:12" s="271" customFormat="1" ht="27" customHeight="1" thickBot="1" x14ac:dyDescent="0.45">
      <c r="A82" s="268" t="s">
        <v>49</v>
      </c>
      <c r="B82" s="270">
        <v>0</v>
      </c>
      <c r="C82" s="523" t="s">
        <v>50</v>
      </c>
      <c r="D82" s="524"/>
      <c r="E82" s="524"/>
      <c r="F82" s="524"/>
      <c r="G82" s="525"/>
      <c r="I82" s="272"/>
      <c r="J82" s="272"/>
      <c r="K82" s="272"/>
      <c r="L82" s="272"/>
    </row>
    <row r="83" spans="1:12" s="271" customFormat="1" ht="19.5" customHeight="1" thickBot="1" x14ac:dyDescent="0.35">
      <c r="A83" s="268" t="s">
        <v>51</v>
      </c>
      <c r="B83" s="273">
        <f>B81-B82</f>
        <v>99.3</v>
      </c>
      <c r="C83" s="274"/>
      <c r="D83" s="274"/>
      <c r="E83" s="274"/>
      <c r="F83" s="274"/>
      <c r="G83" s="275"/>
      <c r="I83" s="272"/>
      <c r="J83" s="272"/>
      <c r="K83" s="272"/>
      <c r="L83" s="272"/>
    </row>
    <row r="84" spans="1:12" s="271" customFormat="1" ht="27" customHeight="1" thickBot="1" x14ac:dyDescent="0.45">
      <c r="A84" s="268" t="s">
        <v>52</v>
      </c>
      <c r="B84" s="276">
        <v>1</v>
      </c>
      <c r="C84" s="526" t="s">
        <v>111</v>
      </c>
      <c r="D84" s="527"/>
      <c r="E84" s="527"/>
      <c r="F84" s="527"/>
      <c r="G84" s="527"/>
      <c r="H84" s="528"/>
      <c r="I84" s="272"/>
      <c r="J84" s="272"/>
      <c r="K84" s="272"/>
      <c r="L84" s="272"/>
    </row>
    <row r="85" spans="1:12" s="271" customFormat="1" ht="27" customHeight="1" thickBot="1" x14ac:dyDescent="0.45">
      <c r="A85" s="268" t="s">
        <v>54</v>
      </c>
      <c r="B85" s="276">
        <v>1</v>
      </c>
      <c r="C85" s="526" t="s">
        <v>112</v>
      </c>
      <c r="D85" s="527"/>
      <c r="E85" s="527"/>
      <c r="F85" s="527"/>
      <c r="G85" s="527"/>
      <c r="H85" s="528"/>
      <c r="I85" s="272"/>
      <c r="J85" s="272"/>
      <c r="K85" s="272"/>
      <c r="L85" s="272"/>
    </row>
    <row r="86" spans="1:12" s="271" customFormat="1" ht="18.75" x14ac:dyDescent="0.3">
      <c r="A86" s="268"/>
      <c r="B86" s="279"/>
      <c r="C86" s="280"/>
      <c r="D86" s="280"/>
      <c r="E86" s="280"/>
      <c r="F86" s="280"/>
      <c r="G86" s="280"/>
      <c r="H86" s="280"/>
      <c r="I86" s="272"/>
      <c r="J86" s="272"/>
      <c r="K86" s="272"/>
      <c r="L86" s="272"/>
    </row>
    <row r="87" spans="1:12" s="271" customFormat="1" ht="18.75" x14ac:dyDescent="0.3">
      <c r="A87" s="268" t="s">
        <v>56</v>
      </c>
      <c r="B87" s="281">
        <f>B84/B85</f>
        <v>1</v>
      </c>
      <c r="C87" s="256" t="s">
        <v>57</v>
      </c>
      <c r="D87" s="256"/>
      <c r="E87" s="256"/>
      <c r="F87" s="256"/>
      <c r="G87" s="256"/>
      <c r="I87" s="272"/>
      <c r="J87" s="272"/>
      <c r="K87" s="272"/>
      <c r="L87" s="272"/>
    </row>
    <row r="88" spans="1:12" ht="19.5" customHeight="1" thickBot="1" x14ac:dyDescent="0.35">
      <c r="A88" s="266"/>
      <c r="B88" s="266"/>
    </row>
    <row r="89" spans="1:12" ht="27" customHeight="1" thickBot="1" x14ac:dyDescent="0.45">
      <c r="A89" s="282" t="s">
        <v>58</v>
      </c>
      <c r="B89" s="283">
        <v>25</v>
      </c>
      <c r="D89" s="361" t="s">
        <v>59</v>
      </c>
      <c r="E89" s="362"/>
      <c r="F89" s="529" t="s">
        <v>60</v>
      </c>
      <c r="G89" s="530"/>
    </row>
    <row r="90" spans="1:12" ht="27" customHeight="1" thickBot="1" x14ac:dyDescent="0.45">
      <c r="A90" s="284" t="s">
        <v>61</v>
      </c>
      <c r="B90" s="285">
        <v>4</v>
      </c>
      <c r="C90" s="363" t="s">
        <v>62</v>
      </c>
      <c r="D90" s="287" t="s">
        <v>63</v>
      </c>
      <c r="E90" s="288" t="s">
        <v>64</v>
      </c>
      <c r="F90" s="287" t="s">
        <v>63</v>
      </c>
      <c r="G90" s="364" t="s">
        <v>64</v>
      </c>
      <c r="I90" s="290" t="s">
        <v>65</v>
      </c>
    </row>
    <row r="91" spans="1:12" ht="26.25" customHeight="1" x14ac:dyDescent="0.4">
      <c r="A91" s="284" t="s">
        <v>66</v>
      </c>
      <c r="B91" s="285">
        <v>100</v>
      </c>
      <c r="C91" s="365">
        <v>1</v>
      </c>
      <c r="D91" s="292">
        <v>3001441</v>
      </c>
      <c r="E91" s="293">
        <f>IF(ISBLANK(D91),"-",$D$101/$D$98*D91)</f>
        <v>3209215.0494882665</v>
      </c>
      <c r="F91" s="292">
        <v>2653414</v>
      </c>
      <c r="G91" s="294">
        <f>IF(ISBLANK(F91),"-",$D$101/$F$98*F91)</f>
        <v>3291597.4769928055</v>
      </c>
      <c r="I91" s="295"/>
    </row>
    <row r="92" spans="1:12" ht="26.25" customHeight="1" x14ac:dyDescent="0.4">
      <c r="A92" s="284" t="s">
        <v>67</v>
      </c>
      <c r="B92" s="285">
        <v>1</v>
      </c>
      <c r="C92" s="314">
        <v>2</v>
      </c>
      <c r="D92" s="297">
        <v>3017734</v>
      </c>
      <c r="E92" s="298">
        <f>IF(ISBLANK(D92),"-",$D$101/$D$98*D92)</f>
        <v>3226635.9285931075</v>
      </c>
      <c r="F92" s="297">
        <v>2617387</v>
      </c>
      <c r="G92" s="299">
        <f>IF(ISBLANK(F92),"-",$D$101/$F$98*F92)</f>
        <v>3246905.4755548015</v>
      </c>
      <c r="I92" s="511">
        <f>ABS((F96/D96*D95)-F95)/D95</f>
        <v>1.1825041038385409E-2</v>
      </c>
    </row>
    <row r="93" spans="1:12" ht="26.25" customHeight="1" x14ac:dyDescent="0.4">
      <c r="A93" s="284" t="s">
        <v>68</v>
      </c>
      <c r="B93" s="285">
        <v>1</v>
      </c>
      <c r="C93" s="314">
        <v>3</v>
      </c>
      <c r="D93" s="297">
        <v>3012765</v>
      </c>
      <c r="E93" s="298">
        <f>IF(ISBLANK(D93),"-",$D$101/$D$98*D93)</f>
        <v>3221322.9507331704</v>
      </c>
      <c r="F93" s="297">
        <v>2620818</v>
      </c>
      <c r="G93" s="299">
        <f>IF(ISBLANK(F93),"-",$D$101/$F$98*F93)</f>
        <v>3251161.6794278352</v>
      </c>
      <c r="I93" s="511"/>
    </row>
    <row r="94" spans="1:12" ht="27" customHeight="1" thickBot="1" x14ac:dyDescent="0.45">
      <c r="A94" s="284" t="s">
        <v>69</v>
      </c>
      <c r="B94" s="285">
        <v>1</v>
      </c>
      <c r="C94" s="366">
        <v>4</v>
      </c>
      <c r="D94" s="301"/>
      <c r="E94" s="302" t="str">
        <f>IF(ISBLANK(D94),"-",$D$101/$D$98*D94)</f>
        <v>-</v>
      </c>
      <c r="F94" s="367"/>
      <c r="G94" s="303" t="str">
        <f>IF(ISBLANK(F94),"-",$D$101/$F$98*F94)</f>
        <v>-</v>
      </c>
      <c r="I94" s="304"/>
    </row>
    <row r="95" spans="1:12" ht="27" customHeight="1" thickBot="1" x14ac:dyDescent="0.45">
      <c r="A95" s="284" t="s">
        <v>70</v>
      </c>
      <c r="B95" s="285">
        <v>1</v>
      </c>
      <c r="C95" s="268" t="s">
        <v>71</v>
      </c>
      <c r="D95" s="368">
        <f>AVERAGE(D91:D94)</f>
        <v>3010646.6666666665</v>
      </c>
      <c r="E95" s="307">
        <f>AVERAGE(E91:E94)</f>
        <v>3219057.9762715143</v>
      </c>
      <c r="F95" s="369">
        <f>AVERAGE(F91:F94)</f>
        <v>2630539.6666666665</v>
      </c>
      <c r="G95" s="370">
        <f>AVERAGE(G91:G94)</f>
        <v>3263221.5439918139</v>
      </c>
    </row>
    <row r="96" spans="1:12" ht="26.25" customHeight="1" x14ac:dyDescent="0.4">
      <c r="A96" s="284" t="s">
        <v>72</v>
      </c>
      <c r="B96" s="269">
        <v>1</v>
      </c>
      <c r="C96" s="371" t="s">
        <v>113</v>
      </c>
      <c r="D96" s="372">
        <v>20.93</v>
      </c>
      <c r="E96" s="256"/>
      <c r="F96" s="311">
        <v>18.04</v>
      </c>
    </row>
    <row r="97" spans="1:10" ht="26.25" customHeight="1" x14ac:dyDescent="0.4">
      <c r="A97" s="284" t="s">
        <v>74</v>
      </c>
      <c r="B97" s="269">
        <v>1</v>
      </c>
      <c r="C97" s="373" t="s">
        <v>114</v>
      </c>
      <c r="D97" s="374">
        <f>D96*$B$87</f>
        <v>20.93</v>
      </c>
      <c r="E97" s="314"/>
      <c r="F97" s="313">
        <f>F96*$B$87</f>
        <v>18.04</v>
      </c>
    </row>
    <row r="98" spans="1:10" ht="19.5" customHeight="1" thickBot="1" x14ac:dyDescent="0.35">
      <c r="A98" s="284" t="s">
        <v>76</v>
      </c>
      <c r="B98" s="314">
        <f>(B97/B96)*(B95/B94)*(B93/B92)*(B91/B90)*B89</f>
        <v>625</v>
      </c>
      <c r="C98" s="373" t="s">
        <v>115</v>
      </c>
      <c r="D98" s="375">
        <f>D97*$B$83/100</f>
        <v>20.783489999999997</v>
      </c>
      <c r="E98" s="316"/>
      <c r="F98" s="315">
        <f>F97*$B$83/100</f>
        <v>17.913719999999998</v>
      </c>
    </row>
    <row r="99" spans="1:10" ht="19.5" customHeight="1" thickBot="1" x14ac:dyDescent="0.35">
      <c r="A99" s="512" t="s">
        <v>78</v>
      </c>
      <c r="B99" s="513"/>
      <c r="C99" s="373" t="s">
        <v>116</v>
      </c>
      <c r="D99" s="376">
        <f>D98/$B$98</f>
        <v>3.3253583999999996E-2</v>
      </c>
      <c r="E99" s="316"/>
      <c r="F99" s="319">
        <f>F98/$B$98</f>
        <v>2.8661951999999997E-2</v>
      </c>
      <c r="H99" s="309"/>
    </row>
    <row r="100" spans="1:10" ht="19.5" customHeight="1" thickBot="1" x14ac:dyDescent="0.35">
      <c r="A100" s="514"/>
      <c r="B100" s="515"/>
      <c r="C100" s="373" t="s">
        <v>80</v>
      </c>
      <c r="D100" s="377">
        <f>$B$56/$B$116</f>
        <v>3.5555555555555556E-2</v>
      </c>
      <c r="F100" s="324"/>
      <c r="G100" s="378"/>
      <c r="H100" s="309"/>
    </row>
    <row r="101" spans="1:10" ht="18.75" x14ac:dyDescent="0.3">
      <c r="C101" s="373" t="s">
        <v>81</v>
      </c>
      <c r="D101" s="374">
        <f>D100*$B$98</f>
        <v>22.222222222222221</v>
      </c>
      <c r="F101" s="324"/>
      <c r="H101" s="309"/>
    </row>
    <row r="102" spans="1:10" ht="19.5" customHeight="1" thickBot="1" x14ac:dyDescent="0.35">
      <c r="C102" s="379" t="s">
        <v>82</v>
      </c>
      <c r="D102" s="380">
        <f>D101/B34</f>
        <v>22.222222222222221</v>
      </c>
      <c r="F102" s="328"/>
      <c r="H102" s="309"/>
      <c r="J102" s="381"/>
    </row>
    <row r="103" spans="1:10" ht="18.75" x14ac:dyDescent="0.3">
      <c r="C103" s="382" t="s">
        <v>117</v>
      </c>
      <c r="D103" s="383">
        <f>AVERAGE(E91:E94,G91:G94)</f>
        <v>3241139.7601316646</v>
      </c>
      <c r="F103" s="328"/>
      <c r="G103" s="378"/>
      <c r="H103" s="309"/>
      <c r="J103" s="384"/>
    </row>
    <row r="104" spans="1:10" ht="18.75" x14ac:dyDescent="0.3">
      <c r="C104" s="356" t="s">
        <v>84</v>
      </c>
      <c r="D104" s="385">
        <f>STDEV(E91:E94,G91:G94)/D103</f>
        <v>9.0499939824028423E-3</v>
      </c>
      <c r="F104" s="328"/>
      <c r="H104" s="309"/>
      <c r="J104" s="384"/>
    </row>
    <row r="105" spans="1:10" ht="19.5" customHeight="1" thickBot="1" x14ac:dyDescent="0.35">
      <c r="C105" s="358" t="s">
        <v>20</v>
      </c>
      <c r="D105" s="386">
        <f>COUNT(E91:E94,G91:G94)</f>
        <v>6</v>
      </c>
      <c r="F105" s="328"/>
      <c r="H105" s="309"/>
      <c r="J105" s="384"/>
    </row>
    <row r="106" spans="1:10" ht="19.5" customHeight="1" thickBot="1" x14ac:dyDescent="0.35">
      <c r="A106" s="332"/>
      <c r="B106" s="332"/>
      <c r="C106" s="332"/>
      <c r="D106" s="332"/>
      <c r="E106" s="332"/>
    </row>
    <row r="107" spans="1:10" ht="27" customHeight="1" thickBot="1" x14ac:dyDescent="0.45">
      <c r="A107" s="282" t="s">
        <v>118</v>
      </c>
      <c r="B107" s="283">
        <v>900</v>
      </c>
      <c r="C107" s="338" t="s">
        <v>119</v>
      </c>
      <c r="D107" s="338" t="s">
        <v>63</v>
      </c>
      <c r="E107" s="338" t="s">
        <v>120</v>
      </c>
      <c r="F107" s="387" t="s">
        <v>121</v>
      </c>
    </row>
    <row r="108" spans="1:10" ht="26.25" customHeight="1" x14ac:dyDescent="0.4">
      <c r="A108" s="284" t="s">
        <v>122</v>
      </c>
      <c r="B108" s="285">
        <v>10</v>
      </c>
      <c r="C108" s="339">
        <v>1</v>
      </c>
      <c r="D108" s="388">
        <v>2851884</v>
      </c>
      <c r="E108" s="389">
        <f t="shared" ref="E108:E113" si="1">IF(ISBLANK(D108),"-",D108/$D$103*$D$100*$B$116)</f>
        <v>140.78425300039012</v>
      </c>
      <c r="F108" s="390">
        <f t="shared" ref="F108:F113" si="2">IF(ISBLANK(D108), "-", (E108/$B$56)*100)</f>
        <v>87.990158125243823</v>
      </c>
    </row>
    <row r="109" spans="1:10" ht="26.25" customHeight="1" x14ac:dyDescent="0.4">
      <c r="A109" s="284" t="s">
        <v>95</v>
      </c>
      <c r="B109" s="285">
        <v>50</v>
      </c>
      <c r="C109" s="343">
        <v>2</v>
      </c>
      <c r="D109" s="391">
        <v>2849230</v>
      </c>
      <c r="E109" s="392">
        <f t="shared" si="1"/>
        <v>140.65323736039105</v>
      </c>
      <c r="F109" s="393">
        <f t="shared" si="2"/>
        <v>87.9082733502444</v>
      </c>
    </row>
    <row r="110" spans="1:10" ht="26.25" customHeight="1" x14ac:dyDescent="0.4">
      <c r="A110" s="284" t="s">
        <v>96</v>
      </c>
      <c r="B110" s="285">
        <v>1</v>
      </c>
      <c r="C110" s="343">
        <v>3</v>
      </c>
      <c r="D110" s="391">
        <v>2815641</v>
      </c>
      <c r="E110" s="392">
        <f t="shared" si="1"/>
        <v>138.99510460533156</v>
      </c>
      <c r="F110" s="393">
        <f t="shared" si="2"/>
        <v>86.871940378332226</v>
      </c>
    </row>
    <row r="111" spans="1:10" ht="26.25" customHeight="1" x14ac:dyDescent="0.4">
      <c r="A111" s="284" t="s">
        <v>97</v>
      </c>
      <c r="B111" s="285">
        <v>1</v>
      </c>
      <c r="C111" s="343">
        <v>4</v>
      </c>
      <c r="D111" s="391">
        <v>2848663</v>
      </c>
      <c r="E111" s="392">
        <f t="shared" si="1"/>
        <v>140.62524720670626</v>
      </c>
      <c r="F111" s="393">
        <f t="shared" si="2"/>
        <v>87.890779504191414</v>
      </c>
    </row>
    <row r="112" spans="1:10" ht="26.25" customHeight="1" x14ac:dyDescent="0.4">
      <c r="A112" s="284" t="s">
        <v>98</v>
      </c>
      <c r="B112" s="285">
        <v>1</v>
      </c>
      <c r="C112" s="343">
        <v>5</v>
      </c>
      <c r="D112" s="391">
        <v>2819933</v>
      </c>
      <c r="E112" s="392">
        <f t="shared" si="1"/>
        <v>139.20698068930892</v>
      </c>
      <c r="F112" s="393">
        <f t="shared" si="2"/>
        <v>87.004362930818075</v>
      </c>
    </row>
    <row r="113" spans="1:10" ht="27" customHeight="1" thickBot="1" x14ac:dyDescent="0.45">
      <c r="A113" s="284" t="s">
        <v>100</v>
      </c>
      <c r="B113" s="285">
        <v>1</v>
      </c>
      <c r="C113" s="347">
        <v>6</v>
      </c>
      <c r="D113" s="394">
        <v>2815776</v>
      </c>
      <c r="E113" s="395">
        <f t="shared" si="1"/>
        <v>139.00176892763747</v>
      </c>
      <c r="F113" s="396">
        <f t="shared" si="2"/>
        <v>86.876105579773423</v>
      </c>
    </row>
    <row r="114" spans="1:10" ht="27" customHeight="1" thickBot="1" x14ac:dyDescent="0.45">
      <c r="A114" s="284" t="s">
        <v>101</v>
      </c>
      <c r="B114" s="285">
        <v>1</v>
      </c>
      <c r="C114" s="397"/>
      <c r="D114" s="314"/>
      <c r="E114" s="256"/>
      <c r="F114" s="393"/>
    </row>
    <row r="115" spans="1:10" ht="26.25" customHeight="1" x14ac:dyDescent="0.4">
      <c r="A115" s="284" t="s">
        <v>102</v>
      </c>
      <c r="B115" s="285">
        <v>1</v>
      </c>
      <c r="C115" s="397"/>
      <c r="D115" s="398" t="s">
        <v>71</v>
      </c>
      <c r="E115" s="399">
        <f>AVERAGE(E108:E113)</f>
        <v>139.87776529829424</v>
      </c>
      <c r="F115" s="400">
        <f>AVERAGE(F108:F113)</f>
        <v>87.423603311433908</v>
      </c>
    </row>
    <row r="116" spans="1:10" ht="27" customHeight="1" thickBot="1" x14ac:dyDescent="0.45">
      <c r="A116" s="284" t="s">
        <v>103</v>
      </c>
      <c r="B116" s="296">
        <f>(B115/B114)*(B113/B112)*(B111/B110)*(B109/B108)*B107</f>
        <v>4500</v>
      </c>
      <c r="C116" s="401"/>
      <c r="D116" s="402" t="s">
        <v>84</v>
      </c>
      <c r="E116" s="357">
        <f>STDEV(E108:E113)/E115</f>
        <v>6.3769142948248876E-3</v>
      </c>
      <c r="F116" s="403">
        <f>STDEV(F108:F113)/F115</f>
        <v>6.3769142948248633E-3</v>
      </c>
      <c r="I116" s="256"/>
    </row>
    <row r="117" spans="1:10" ht="27" customHeight="1" thickBot="1" x14ac:dyDescent="0.45">
      <c r="A117" s="512" t="s">
        <v>78</v>
      </c>
      <c r="B117" s="516"/>
      <c r="C117" s="404"/>
      <c r="D117" s="358" t="s">
        <v>20</v>
      </c>
      <c r="E117" s="405">
        <f>COUNT(E108:E113)</f>
        <v>6</v>
      </c>
      <c r="F117" s="406">
        <f>COUNT(F108:F113)</f>
        <v>6</v>
      </c>
      <c r="I117" s="256"/>
      <c r="J117" s="384"/>
    </row>
    <row r="118" spans="1:10" ht="26.25" customHeight="1" thickBot="1" x14ac:dyDescent="0.35">
      <c r="A118" s="514"/>
      <c r="B118" s="517"/>
      <c r="C118" s="256"/>
      <c r="D118" s="407"/>
      <c r="E118" s="518" t="s">
        <v>123</v>
      </c>
      <c r="F118" s="519"/>
      <c r="G118" s="256"/>
      <c r="H118" s="256"/>
      <c r="I118" s="256"/>
    </row>
    <row r="119" spans="1:10" ht="25.5" customHeight="1" x14ac:dyDescent="0.4">
      <c r="A119" s="408"/>
      <c r="B119" s="280"/>
      <c r="C119" s="256"/>
      <c r="D119" s="402" t="s">
        <v>124</v>
      </c>
      <c r="E119" s="409">
        <f>MIN(E108:E113)</f>
        <v>138.99510460533156</v>
      </c>
      <c r="F119" s="410">
        <f>MIN(F108:F113)</f>
        <v>86.871940378332226</v>
      </c>
      <c r="G119" s="256"/>
      <c r="H119" s="256"/>
      <c r="I119" s="256"/>
    </row>
    <row r="120" spans="1:10" ht="24" customHeight="1" thickBot="1" x14ac:dyDescent="0.45">
      <c r="A120" s="408"/>
      <c r="B120" s="280"/>
      <c r="C120" s="256"/>
      <c r="D120" s="325" t="s">
        <v>125</v>
      </c>
      <c r="E120" s="411">
        <f>MAX(E108:E113)</f>
        <v>140.78425300039012</v>
      </c>
      <c r="F120" s="412">
        <f>MAX(F108:F113)</f>
        <v>87.990158125243823</v>
      </c>
      <c r="G120" s="256"/>
      <c r="H120" s="256"/>
      <c r="I120" s="256"/>
    </row>
    <row r="121" spans="1:10" ht="27" customHeight="1" x14ac:dyDescent="0.3">
      <c r="A121" s="408"/>
      <c r="B121" s="280"/>
      <c r="C121" s="256"/>
      <c r="D121" s="256"/>
      <c r="E121" s="256"/>
      <c r="F121" s="314"/>
      <c r="G121" s="256"/>
      <c r="H121" s="256"/>
      <c r="I121" s="256"/>
    </row>
    <row r="122" spans="1:10" ht="25.5" customHeight="1" x14ac:dyDescent="0.3">
      <c r="A122" s="408"/>
      <c r="B122" s="280"/>
      <c r="C122" s="256"/>
      <c r="D122" s="256"/>
      <c r="E122" s="256"/>
      <c r="F122" s="314"/>
      <c r="G122" s="256"/>
      <c r="H122" s="256"/>
      <c r="I122" s="256"/>
    </row>
    <row r="123" spans="1:10" ht="18.75" x14ac:dyDescent="0.3">
      <c r="A123" s="408"/>
      <c r="B123" s="280"/>
      <c r="C123" s="256"/>
      <c r="D123" s="256"/>
      <c r="E123" s="256"/>
      <c r="F123" s="314"/>
      <c r="G123" s="256"/>
      <c r="H123" s="256"/>
      <c r="I123" s="256"/>
    </row>
    <row r="124" spans="1:10" ht="45.75" customHeight="1" x14ac:dyDescent="0.65">
      <c r="A124" s="267" t="s">
        <v>106</v>
      </c>
      <c r="B124" s="268" t="s">
        <v>126</v>
      </c>
      <c r="C124" s="520" t="str">
        <f>B26</f>
        <v>Trimethoprim</v>
      </c>
      <c r="D124" s="520"/>
      <c r="E124" s="256" t="s">
        <v>127</v>
      </c>
      <c r="F124" s="256"/>
      <c r="G124" s="413">
        <f>F115</f>
        <v>87.423603311433908</v>
      </c>
      <c r="H124" s="256"/>
      <c r="I124" s="256"/>
    </row>
    <row r="125" spans="1:10" ht="45.75" customHeight="1" x14ac:dyDescent="0.65">
      <c r="A125" s="267"/>
      <c r="B125" s="268" t="s">
        <v>128</v>
      </c>
      <c r="C125" s="268" t="s">
        <v>129</v>
      </c>
      <c r="D125" s="413">
        <f>MIN(F108:F113)</f>
        <v>86.871940378332226</v>
      </c>
      <c r="E125" s="268" t="s">
        <v>130</v>
      </c>
      <c r="F125" s="413">
        <f>MAX(F108:F113)</f>
        <v>87.990158125243823</v>
      </c>
      <c r="G125" s="414"/>
      <c r="H125" s="256"/>
      <c r="I125" s="256"/>
    </row>
    <row r="126" spans="1:10" ht="19.5" customHeight="1" thickBot="1" x14ac:dyDescent="0.35">
      <c r="A126" s="415"/>
      <c r="B126" s="415"/>
      <c r="C126" s="416"/>
      <c r="D126" s="416"/>
      <c r="E126" s="416"/>
      <c r="F126" s="416"/>
      <c r="G126" s="416"/>
      <c r="H126" s="416"/>
    </row>
    <row r="127" spans="1:10" ht="18.75" x14ac:dyDescent="0.3">
      <c r="B127" s="521" t="s">
        <v>26</v>
      </c>
      <c r="C127" s="521"/>
      <c r="E127" s="363" t="s">
        <v>27</v>
      </c>
      <c r="F127" s="417"/>
      <c r="G127" s="521" t="s">
        <v>28</v>
      </c>
      <c r="H127" s="521"/>
    </row>
    <row r="128" spans="1:10" ht="69.95" customHeight="1" x14ac:dyDescent="0.3">
      <c r="A128" s="267" t="s">
        <v>29</v>
      </c>
      <c r="B128" s="418"/>
      <c r="C128" s="418"/>
      <c r="E128" s="418"/>
      <c r="F128" s="256"/>
      <c r="G128" s="418"/>
      <c r="H128" s="418"/>
    </row>
    <row r="129" spans="1:9" ht="69.95" customHeight="1" x14ac:dyDescent="0.3">
      <c r="A129" s="267" t="s">
        <v>30</v>
      </c>
      <c r="B129" s="419"/>
      <c r="C129" s="419"/>
      <c r="E129" s="419"/>
      <c r="F129" s="256"/>
      <c r="G129" s="420"/>
      <c r="H129" s="420"/>
    </row>
    <row r="130" spans="1:9" ht="18.75" x14ac:dyDescent="0.3">
      <c r="A130" s="314"/>
      <c r="B130" s="314"/>
      <c r="C130" s="314"/>
      <c r="D130" s="314"/>
      <c r="E130" s="314"/>
      <c r="F130" s="316"/>
      <c r="G130" s="314"/>
      <c r="H130" s="314"/>
      <c r="I130" s="256"/>
    </row>
    <row r="131" spans="1:9" ht="18.75" x14ac:dyDescent="0.3">
      <c r="A131" s="314"/>
      <c r="B131" s="314"/>
      <c r="C131" s="314"/>
      <c r="D131" s="314"/>
      <c r="E131" s="314"/>
      <c r="F131" s="316"/>
      <c r="G131" s="314"/>
      <c r="H131" s="314"/>
      <c r="I131" s="256"/>
    </row>
    <row r="132" spans="1:9" ht="18.75" x14ac:dyDescent="0.3">
      <c r="A132" s="314"/>
      <c r="B132" s="314"/>
      <c r="C132" s="314"/>
      <c r="D132" s="314"/>
      <c r="E132" s="314"/>
      <c r="F132" s="316"/>
      <c r="G132" s="314"/>
      <c r="H132" s="314"/>
      <c r="I132" s="256"/>
    </row>
    <row r="133" spans="1:9" ht="18.75" x14ac:dyDescent="0.3">
      <c r="A133" s="314"/>
      <c r="B133" s="314"/>
      <c r="C133" s="314"/>
      <c r="D133" s="314"/>
      <c r="E133" s="314"/>
      <c r="F133" s="316"/>
      <c r="G133" s="314"/>
      <c r="H133" s="314"/>
      <c r="I133" s="256"/>
    </row>
    <row r="134" spans="1:9" ht="18.75" x14ac:dyDescent="0.3">
      <c r="A134" s="314"/>
      <c r="B134" s="314"/>
      <c r="C134" s="314"/>
      <c r="D134" s="314"/>
      <c r="E134" s="314"/>
      <c r="F134" s="316"/>
      <c r="G134" s="314"/>
      <c r="H134" s="314"/>
      <c r="I134" s="256"/>
    </row>
    <row r="135" spans="1:9" ht="18.75" x14ac:dyDescent="0.3">
      <c r="A135" s="314"/>
      <c r="B135" s="314"/>
      <c r="C135" s="314"/>
      <c r="D135" s="314"/>
      <c r="E135" s="314"/>
      <c r="F135" s="316"/>
      <c r="G135" s="314"/>
      <c r="H135" s="314"/>
      <c r="I135" s="256"/>
    </row>
    <row r="136" spans="1:9" ht="18.75" x14ac:dyDescent="0.3">
      <c r="A136" s="314"/>
      <c r="B136" s="314"/>
      <c r="C136" s="314"/>
      <c r="D136" s="314"/>
      <c r="E136" s="314"/>
      <c r="F136" s="316"/>
      <c r="G136" s="314"/>
      <c r="H136" s="314"/>
      <c r="I136" s="256"/>
    </row>
    <row r="137" spans="1:9" ht="18.75" x14ac:dyDescent="0.3">
      <c r="A137" s="314"/>
      <c r="B137" s="314"/>
      <c r="C137" s="314"/>
      <c r="D137" s="314"/>
      <c r="E137" s="314"/>
      <c r="F137" s="316"/>
      <c r="G137" s="314"/>
      <c r="H137" s="314"/>
      <c r="I137" s="256"/>
    </row>
    <row r="138" spans="1:9" ht="18.75" x14ac:dyDescent="0.3">
      <c r="A138" s="314"/>
      <c r="B138" s="314"/>
      <c r="C138" s="314"/>
      <c r="D138" s="314"/>
      <c r="E138" s="314"/>
      <c r="F138" s="316"/>
      <c r="G138" s="314"/>
      <c r="H138" s="314"/>
      <c r="I138" s="256"/>
    </row>
    <row r="250" spans="1:1" x14ac:dyDescent="0.25">
      <c r="A250" s="255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2" workbookViewId="0">
      <selection activeCell="B40" sqref="B40"/>
    </sheetView>
  </sheetViews>
  <sheetFormatPr defaultRowHeight="13.5" x14ac:dyDescent="0.25"/>
  <cols>
    <col min="1" max="1" width="27.5703125" style="422" customWidth="1"/>
    <col min="2" max="2" width="20.42578125" style="422" customWidth="1"/>
    <col min="3" max="3" width="31.85546875" style="422" customWidth="1"/>
    <col min="4" max="4" width="25.85546875" style="422" customWidth="1"/>
    <col min="5" max="5" width="25.7109375" style="422" customWidth="1"/>
    <col min="6" max="6" width="23.140625" style="422" customWidth="1"/>
    <col min="7" max="7" width="28.42578125" style="422" customWidth="1"/>
    <col min="8" max="8" width="21.5703125" style="422" customWidth="1"/>
    <col min="9" max="9" width="9.140625" style="422" customWidth="1"/>
    <col min="10" max="16384" width="9.140625" style="459"/>
  </cols>
  <sheetData>
    <row r="14" spans="1:6" ht="15" customHeight="1" x14ac:dyDescent="0.3">
      <c r="A14" s="421"/>
      <c r="C14" s="423"/>
      <c r="F14" s="423"/>
    </row>
    <row r="15" spans="1:6" ht="18.75" customHeight="1" x14ac:dyDescent="0.3">
      <c r="A15" s="554" t="s">
        <v>0</v>
      </c>
      <c r="B15" s="554"/>
      <c r="C15" s="554"/>
      <c r="D15" s="554"/>
      <c r="E15" s="554"/>
    </row>
    <row r="16" spans="1:6" ht="16.5" customHeight="1" x14ac:dyDescent="0.3">
      <c r="A16" s="424" t="s">
        <v>1</v>
      </c>
      <c r="B16" s="425" t="s">
        <v>2</v>
      </c>
    </row>
    <row r="17" spans="1:5" ht="16.5" customHeight="1" x14ac:dyDescent="0.3">
      <c r="A17" s="426" t="s">
        <v>3</v>
      </c>
      <c r="B17" s="426" t="s">
        <v>5</v>
      </c>
      <c r="D17" s="427"/>
      <c r="E17" s="428"/>
    </row>
    <row r="18" spans="1:5" ht="16.5" customHeight="1" x14ac:dyDescent="0.3">
      <c r="A18" s="429" t="s">
        <v>4</v>
      </c>
      <c r="B18" s="430" t="s">
        <v>136</v>
      </c>
      <c r="C18" s="428"/>
      <c r="D18" s="428"/>
      <c r="E18" s="428"/>
    </row>
    <row r="19" spans="1:5" ht="16.5" customHeight="1" x14ac:dyDescent="0.3">
      <c r="A19" s="429" t="s">
        <v>6</v>
      </c>
      <c r="B19" s="431">
        <v>99.3</v>
      </c>
      <c r="C19" s="428"/>
      <c r="D19" s="428"/>
      <c r="E19" s="428"/>
    </row>
    <row r="20" spans="1:5" ht="16.5" customHeight="1" x14ac:dyDescent="0.3">
      <c r="A20" s="426" t="s">
        <v>8</v>
      </c>
      <c r="B20" s="431">
        <v>20.93</v>
      </c>
      <c r="C20" s="428"/>
      <c r="D20" s="428"/>
      <c r="E20" s="428"/>
    </row>
    <row r="21" spans="1:5" ht="16.5" customHeight="1" x14ac:dyDescent="0.3">
      <c r="A21" s="426" t="s">
        <v>10</v>
      </c>
      <c r="B21" s="432">
        <f>B20/25*4/100</f>
        <v>3.3487999999999997E-2</v>
      </c>
      <c r="C21" s="428"/>
      <c r="D21" s="428"/>
      <c r="E21" s="428"/>
    </row>
    <row r="22" spans="1:5" ht="15.75" customHeight="1" x14ac:dyDescent="0.25">
      <c r="A22" s="428"/>
      <c r="B22" s="428" t="s">
        <v>132</v>
      </c>
      <c r="C22" s="428"/>
      <c r="D22" s="428"/>
      <c r="E22" s="428"/>
    </row>
    <row r="23" spans="1:5" ht="16.5" customHeight="1" x14ac:dyDescent="0.3">
      <c r="A23" s="433" t="s">
        <v>13</v>
      </c>
      <c r="B23" s="434" t="s">
        <v>14</v>
      </c>
      <c r="C23" s="433" t="s">
        <v>15</v>
      </c>
      <c r="D23" s="433" t="s">
        <v>16</v>
      </c>
      <c r="E23" s="433" t="s">
        <v>17</v>
      </c>
    </row>
    <row r="24" spans="1:5" ht="16.5" customHeight="1" x14ac:dyDescent="0.3">
      <c r="A24" s="435">
        <v>1</v>
      </c>
      <c r="B24" s="436">
        <v>3006271</v>
      </c>
      <c r="C24" s="436">
        <v>6079.5</v>
      </c>
      <c r="D24" s="437">
        <v>1.5</v>
      </c>
      <c r="E24" s="438">
        <v>5.0999999999999996</v>
      </c>
    </row>
    <row r="25" spans="1:5" ht="16.5" customHeight="1" x14ac:dyDescent="0.3">
      <c r="A25" s="435">
        <v>2</v>
      </c>
      <c r="B25" s="436">
        <v>3002253</v>
      </c>
      <c r="C25" s="436">
        <v>6025.8</v>
      </c>
      <c r="D25" s="437">
        <v>1.4</v>
      </c>
      <c r="E25" s="437">
        <v>5.0999999999999996</v>
      </c>
    </row>
    <row r="26" spans="1:5" ht="16.5" customHeight="1" x14ac:dyDescent="0.3">
      <c r="A26" s="435">
        <v>3</v>
      </c>
      <c r="B26" s="436">
        <v>3000988</v>
      </c>
      <c r="C26" s="436">
        <v>6084.9</v>
      </c>
      <c r="D26" s="437">
        <v>1.4</v>
      </c>
      <c r="E26" s="437">
        <v>5.0999999999999996</v>
      </c>
    </row>
    <row r="27" spans="1:5" ht="16.5" customHeight="1" x14ac:dyDescent="0.3">
      <c r="A27" s="435">
        <v>4</v>
      </c>
      <c r="B27" s="436">
        <v>3000557</v>
      </c>
      <c r="C27" s="436">
        <v>6041.9</v>
      </c>
      <c r="D27" s="437">
        <v>1.4</v>
      </c>
      <c r="E27" s="437">
        <v>5.0999999999999996</v>
      </c>
    </row>
    <row r="28" spans="1:5" ht="16.5" customHeight="1" x14ac:dyDescent="0.3">
      <c r="A28" s="435">
        <v>5</v>
      </c>
      <c r="B28" s="436">
        <v>3002212</v>
      </c>
      <c r="C28" s="436">
        <v>6013.1</v>
      </c>
      <c r="D28" s="437">
        <v>1.5</v>
      </c>
      <c r="E28" s="437">
        <v>5.0999999999999996</v>
      </c>
    </row>
    <row r="29" spans="1:5" ht="16.5" customHeight="1" x14ac:dyDescent="0.3">
      <c r="A29" s="435">
        <v>6</v>
      </c>
      <c r="B29" s="439">
        <v>3004727</v>
      </c>
      <c r="C29" s="439">
        <v>6018.2</v>
      </c>
      <c r="D29" s="440">
        <v>1.4</v>
      </c>
      <c r="E29" s="440">
        <v>5.0999999999999996</v>
      </c>
    </row>
    <row r="30" spans="1:5" ht="16.5" customHeight="1" x14ac:dyDescent="0.3">
      <c r="A30" s="441" t="s">
        <v>18</v>
      </c>
      <c r="B30" s="442">
        <f>AVERAGE(B24:B29)</f>
        <v>3002834.6666666665</v>
      </c>
      <c r="C30" s="443">
        <f>AVERAGE(C24:C29)</f>
        <v>6043.8999999999987</v>
      </c>
      <c r="D30" s="444">
        <f>AVERAGE(D24:D29)</f>
        <v>1.4333333333333333</v>
      </c>
      <c r="E30" s="444">
        <f>AVERAGE(E24:E29)</f>
        <v>5.1000000000000005</v>
      </c>
    </row>
    <row r="31" spans="1:5" ht="16.5" customHeight="1" x14ac:dyDescent="0.3">
      <c r="A31" s="445" t="s">
        <v>19</v>
      </c>
      <c r="B31" s="446">
        <f>(STDEV(B24:B29)/B30)</f>
        <v>7.4037030956787965E-4</v>
      </c>
      <c r="C31" s="447"/>
      <c r="D31" s="447"/>
      <c r="E31" s="448"/>
    </row>
    <row r="32" spans="1:5" s="422" customFormat="1" ht="16.5" customHeight="1" x14ac:dyDescent="0.3">
      <c r="A32" s="449" t="s">
        <v>20</v>
      </c>
      <c r="B32" s="450">
        <f>COUNT(B24:B29)</f>
        <v>6</v>
      </c>
      <c r="C32" s="451"/>
      <c r="D32" s="452"/>
      <c r="E32" s="453"/>
    </row>
    <row r="33" spans="1:5" s="422" customFormat="1" ht="15.75" customHeight="1" x14ac:dyDescent="0.25">
      <c r="A33" s="428"/>
      <c r="B33" s="428"/>
      <c r="C33" s="428"/>
      <c r="D33" s="428"/>
      <c r="E33" s="428"/>
    </row>
    <row r="34" spans="1:5" s="422" customFormat="1" ht="16.5" customHeight="1" x14ac:dyDescent="0.3">
      <c r="A34" s="429" t="s">
        <v>21</v>
      </c>
      <c r="B34" s="454" t="s">
        <v>22</v>
      </c>
      <c r="C34" s="455"/>
      <c r="D34" s="455"/>
      <c r="E34" s="455"/>
    </row>
    <row r="35" spans="1:5" ht="16.5" customHeight="1" x14ac:dyDescent="0.3">
      <c r="A35" s="429"/>
      <c r="B35" s="454" t="s">
        <v>23</v>
      </c>
      <c r="C35" s="455"/>
      <c r="D35" s="455"/>
      <c r="E35" s="455"/>
    </row>
    <row r="36" spans="1:5" ht="16.5" customHeight="1" x14ac:dyDescent="0.3">
      <c r="A36" s="429"/>
      <c r="B36" s="454" t="s">
        <v>24</v>
      </c>
      <c r="C36" s="455"/>
      <c r="D36" s="455"/>
      <c r="E36" s="455"/>
    </row>
    <row r="37" spans="1:5" ht="15.75" customHeight="1" x14ac:dyDescent="0.25">
      <c r="A37" s="428"/>
      <c r="B37" s="428"/>
      <c r="C37" s="428"/>
      <c r="D37" s="428"/>
      <c r="E37" s="428"/>
    </row>
    <row r="38" spans="1:5" ht="16.5" customHeight="1" x14ac:dyDescent="0.3">
      <c r="A38" s="424" t="s">
        <v>1</v>
      </c>
      <c r="B38" s="425" t="s">
        <v>25</v>
      </c>
    </row>
    <row r="39" spans="1:5" ht="16.5" customHeight="1" x14ac:dyDescent="0.3">
      <c r="A39" s="429" t="s">
        <v>4</v>
      </c>
      <c r="B39" s="426" t="s">
        <v>136</v>
      </c>
      <c r="C39" s="428"/>
      <c r="D39" s="428"/>
      <c r="E39" s="428"/>
    </row>
    <row r="40" spans="1:5" ht="16.5" customHeight="1" x14ac:dyDescent="0.3">
      <c r="A40" s="429" t="s">
        <v>6</v>
      </c>
      <c r="B40" s="431">
        <v>99.3</v>
      </c>
      <c r="C40" s="428"/>
      <c r="D40" s="428"/>
      <c r="E40" s="428"/>
    </row>
    <row r="41" spans="1:5" ht="16.5" customHeight="1" x14ac:dyDescent="0.3">
      <c r="A41" s="426" t="s">
        <v>8</v>
      </c>
      <c r="B41" s="431">
        <v>20.93</v>
      </c>
      <c r="C41" s="428"/>
      <c r="D41" s="428"/>
      <c r="E41" s="428"/>
    </row>
    <row r="42" spans="1:5" ht="16.5" customHeight="1" x14ac:dyDescent="0.3">
      <c r="A42" s="426" t="s">
        <v>10</v>
      </c>
      <c r="B42" s="432">
        <f>B41/25*4/100</f>
        <v>3.3487999999999997E-2</v>
      </c>
      <c r="C42" s="428"/>
      <c r="D42" s="428"/>
      <c r="E42" s="428"/>
    </row>
    <row r="43" spans="1:5" ht="15.75" customHeight="1" x14ac:dyDescent="0.25">
      <c r="A43" s="428"/>
      <c r="B43" s="428"/>
      <c r="C43" s="428"/>
      <c r="D43" s="428"/>
      <c r="E43" s="428"/>
    </row>
    <row r="44" spans="1:5" ht="16.5" customHeight="1" x14ac:dyDescent="0.3">
      <c r="A44" s="433" t="s">
        <v>13</v>
      </c>
      <c r="B44" s="434" t="s">
        <v>14</v>
      </c>
      <c r="C44" s="433" t="s">
        <v>15</v>
      </c>
      <c r="D44" s="433" t="s">
        <v>16</v>
      </c>
      <c r="E44" s="433" t="s">
        <v>17</v>
      </c>
    </row>
    <row r="45" spans="1:5" ht="16.5" customHeight="1" x14ac:dyDescent="0.3">
      <c r="A45" s="435">
        <v>1</v>
      </c>
      <c r="B45" s="436">
        <v>3006271</v>
      </c>
      <c r="C45" s="436">
        <v>6079.5</v>
      </c>
      <c r="D45" s="437">
        <v>1.5</v>
      </c>
      <c r="E45" s="438">
        <v>5.0999999999999996</v>
      </c>
    </row>
    <row r="46" spans="1:5" ht="16.5" customHeight="1" x14ac:dyDescent="0.3">
      <c r="A46" s="435">
        <v>2</v>
      </c>
      <c r="B46" s="436">
        <v>3002253</v>
      </c>
      <c r="C46" s="436">
        <v>6025.8</v>
      </c>
      <c r="D46" s="437">
        <v>1.5</v>
      </c>
      <c r="E46" s="437">
        <v>5.0999999999999996</v>
      </c>
    </row>
    <row r="47" spans="1:5" ht="16.5" customHeight="1" x14ac:dyDescent="0.3">
      <c r="A47" s="435">
        <v>3</v>
      </c>
      <c r="B47" s="436">
        <v>3000988</v>
      </c>
      <c r="C47" s="436">
        <v>6084.9</v>
      </c>
      <c r="D47" s="437">
        <v>1.5</v>
      </c>
      <c r="E47" s="437">
        <v>5.0999999999999996</v>
      </c>
    </row>
    <row r="48" spans="1:5" ht="16.5" customHeight="1" x14ac:dyDescent="0.3">
      <c r="A48" s="435">
        <v>4</v>
      </c>
      <c r="B48" s="436">
        <v>3000557</v>
      </c>
      <c r="C48" s="436">
        <v>6041.9</v>
      </c>
      <c r="D48" s="437">
        <v>1.5</v>
      </c>
      <c r="E48" s="437">
        <v>5.0999999999999996</v>
      </c>
    </row>
    <row r="49" spans="1:7" ht="16.5" customHeight="1" x14ac:dyDescent="0.3">
      <c r="A49" s="435">
        <v>5</v>
      </c>
      <c r="B49" s="436">
        <v>3002212</v>
      </c>
      <c r="C49" s="436">
        <v>6013.1</v>
      </c>
      <c r="D49" s="437">
        <v>1.5</v>
      </c>
      <c r="E49" s="437">
        <v>5.0999999999999996</v>
      </c>
    </row>
    <row r="50" spans="1:7" ht="16.5" customHeight="1" x14ac:dyDescent="0.3">
      <c r="A50" s="435">
        <v>6</v>
      </c>
      <c r="B50" s="439">
        <v>3004727</v>
      </c>
      <c r="C50" s="439">
        <v>6018.2</v>
      </c>
      <c r="D50" s="440">
        <v>1.5</v>
      </c>
      <c r="E50" s="440">
        <v>5.0999999999999996</v>
      </c>
    </row>
    <row r="51" spans="1:7" ht="16.5" customHeight="1" x14ac:dyDescent="0.3">
      <c r="A51" s="441" t="s">
        <v>18</v>
      </c>
      <c r="B51" s="442">
        <f>AVERAGE(B45:B50)</f>
        <v>3002834.6666666665</v>
      </c>
      <c r="C51" s="443">
        <f>AVERAGE(C45:C50)</f>
        <v>6043.8999999999987</v>
      </c>
      <c r="D51" s="444">
        <f>AVERAGE(D45:D50)</f>
        <v>1.5</v>
      </c>
      <c r="E51" s="444">
        <f>AVERAGE(E45:E50)</f>
        <v>5.1000000000000005</v>
      </c>
    </row>
    <row r="52" spans="1:7" ht="16.5" customHeight="1" x14ac:dyDescent="0.3">
      <c r="A52" s="445" t="s">
        <v>19</v>
      </c>
      <c r="B52" s="446">
        <f>(STDEV(B45:B50)/B51)</f>
        <v>7.4037030956787965E-4</v>
      </c>
      <c r="C52" s="447"/>
      <c r="D52" s="447"/>
      <c r="E52" s="448"/>
    </row>
    <row r="53" spans="1:7" s="422" customFormat="1" ht="16.5" customHeight="1" x14ac:dyDescent="0.3">
      <c r="A53" s="449" t="s">
        <v>20</v>
      </c>
      <c r="B53" s="450">
        <f>COUNT(B45:B50)</f>
        <v>6</v>
      </c>
      <c r="C53" s="451"/>
      <c r="D53" s="452"/>
      <c r="E53" s="453"/>
    </row>
    <row r="54" spans="1:7" s="422" customFormat="1" ht="15.75" customHeight="1" x14ac:dyDescent="0.25">
      <c r="A54" s="428"/>
      <c r="B54" s="428"/>
      <c r="C54" s="428"/>
      <c r="D54" s="428"/>
      <c r="E54" s="428"/>
    </row>
    <row r="55" spans="1:7" s="422" customFormat="1" ht="16.5" customHeight="1" x14ac:dyDescent="0.3">
      <c r="A55" s="429" t="s">
        <v>21</v>
      </c>
      <c r="B55" s="454" t="s">
        <v>22</v>
      </c>
      <c r="C55" s="455"/>
      <c r="D55" s="455"/>
      <c r="E55" s="455"/>
    </row>
    <row r="56" spans="1:7" ht="16.5" customHeight="1" x14ac:dyDescent="0.3">
      <c r="A56" s="429"/>
      <c r="B56" s="454" t="s">
        <v>23</v>
      </c>
      <c r="C56" s="455"/>
      <c r="D56" s="455"/>
      <c r="E56" s="455"/>
    </row>
    <row r="57" spans="1:7" ht="16.5" customHeight="1" x14ac:dyDescent="0.3">
      <c r="A57" s="429"/>
      <c r="B57" s="454" t="s">
        <v>24</v>
      </c>
      <c r="C57" s="455"/>
      <c r="D57" s="455"/>
      <c r="E57" s="455"/>
    </row>
    <row r="58" spans="1:7" ht="14.25" customHeight="1" thickBot="1" x14ac:dyDescent="0.3">
      <c r="A58" s="456"/>
      <c r="B58" s="457"/>
      <c r="D58" s="458"/>
      <c r="F58" s="459"/>
      <c r="G58" s="459"/>
    </row>
    <row r="59" spans="1:7" ht="15" customHeight="1" x14ac:dyDescent="0.3">
      <c r="B59" s="555" t="s">
        <v>26</v>
      </c>
      <c r="C59" s="555"/>
      <c r="E59" s="460" t="s">
        <v>27</v>
      </c>
      <c r="F59" s="461"/>
      <c r="G59" s="460" t="s">
        <v>28</v>
      </c>
    </row>
    <row r="60" spans="1:7" ht="15" customHeight="1" x14ac:dyDescent="0.3">
      <c r="A60" s="462" t="s">
        <v>29</v>
      </c>
      <c r="B60" s="463"/>
      <c r="C60" s="463"/>
      <c r="E60" s="463"/>
      <c r="G60" s="463"/>
    </row>
    <row r="61" spans="1:7" ht="15" customHeight="1" x14ac:dyDescent="0.3">
      <c r="A61" s="462" t="s">
        <v>30</v>
      </c>
      <c r="B61" s="464"/>
      <c r="C61" s="464"/>
      <c r="E61" s="464"/>
      <c r="G61" s="46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E49" sqref="E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9" t="s">
        <v>31</v>
      </c>
      <c r="B11" s="560"/>
      <c r="C11" s="560"/>
      <c r="D11" s="560"/>
      <c r="E11" s="560"/>
      <c r="F11" s="561"/>
      <c r="G11" s="41"/>
    </row>
    <row r="12" spans="1:7" ht="16.5" customHeight="1" x14ac:dyDescent="0.3">
      <c r="A12" s="558" t="s">
        <v>32</v>
      </c>
      <c r="B12" s="558"/>
      <c r="C12" s="558"/>
      <c r="D12" s="558"/>
      <c r="E12" s="558"/>
      <c r="F12" s="558"/>
      <c r="G12" s="40"/>
    </row>
    <row r="14" spans="1:7" ht="16.5" customHeight="1" x14ac:dyDescent="0.3">
      <c r="A14" s="563" t="s">
        <v>33</v>
      </c>
      <c r="B14" s="563"/>
      <c r="C14" s="10" t="s">
        <v>5</v>
      </c>
    </row>
    <row r="15" spans="1:7" ht="16.5" customHeight="1" x14ac:dyDescent="0.3">
      <c r="A15" s="563" t="s">
        <v>34</v>
      </c>
      <c r="B15" s="563"/>
      <c r="C15" s="10" t="s">
        <v>7</v>
      </c>
    </row>
    <row r="16" spans="1:7" ht="16.5" customHeight="1" x14ac:dyDescent="0.3">
      <c r="A16" s="563" t="s">
        <v>35</v>
      </c>
      <c r="B16" s="563"/>
      <c r="C16" s="10" t="s">
        <v>9</v>
      </c>
    </row>
    <row r="17" spans="1:5" ht="16.5" customHeight="1" x14ac:dyDescent="0.3">
      <c r="A17" s="563" t="s">
        <v>36</v>
      </c>
      <c r="B17" s="563"/>
      <c r="C17" s="10" t="s">
        <v>11</v>
      </c>
    </row>
    <row r="18" spans="1:5" ht="16.5" customHeight="1" x14ac:dyDescent="0.3">
      <c r="A18" s="563" t="s">
        <v>37</v>
      </c>
      <c r="B18" s="563"/>
      <c r="C18" s="47" t="s">
        <v>12</v>
      </c>
    </row>
    <row r="19" spans="1:5" ht="16.5" customHeight="1" x14ac:dyDescent="0.3">
      <c r="A19" s="563" t="s">
        <v>38</v>
      </c>
      <c r="B19" s="56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8" t="s">
        <v>1</v>
      </c>
      <c r="B21" s="558"/>
      <c r="C21" s="9" t="s">
        <v>39</v>
      </c>
      <c r="D21" s="16"/>
    </row>
    <row r="22" spans="1:5" ht="15.75" customHeight="1" x14ac:dyDescent="0.3">
      <c r="A22" s="562"/>
      <c r="B22" s="562"/>
      <c r="C22" s="7"/>
      <c r="D22" s="562"/>
      <c r="E22" s="56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1058.49</v>
      </c>
      <c r="D24" s="37">
        <f t="shared" ref="D24:D43" si="0">(C24-$C$46)/$C$46</f>
        <v>5.7910737930748704E-3</v>
      </c>
      <c r="E24" s="3"/>
    </row>
    <row r="25" spans="1:5" ht="15.75" customHeight="1" x14ac:dyDescent="0.3">
      <c r="C25" s="45">
        <v>1057.45</v>
      </c>
      <c r="D25" s="38">
        <f t="shared" si="0"/>
        <v>4.8028521596680728E-3</v>
      </c>
      <c r="E25" s="3"/>
    </row>
    <row r="26" spans="1:5" ht="15.75" customHeight="1" x14ac:dyDescent="0.3">
      <c r="C26" s="45">
        <v>1057.1300000000001</v>
      </c>
      <c r="D26" s="38">
        <f t="shared" si="0"/>
        <v>4.4987839647737237E-3</v>
      </c>
      <c r="E26" s="3"/>
    </row>
    <row r="27" spans="1:5" ht="15.75" customHeight="1" x14ac:dyDescent="0.3">
      <c r="C27" s="45">
        <v>1054.52</v>
      </c>
      <c r="D27" s="38">
        <f t="shared" si="0"/>
        <v>2.0187277501660717E-3</v>
      </c>
      <c r="E27" s="3"/>
    </row>
    <row r="28" spans="1:5" ht="15.75" customHeight="1" x14ac:dyDescent="0.3">
      <c r="C28" s="45">
        <v>1055.1099999999999</v>
      </c>
      <c r="D28" s="38">
        <f t="shared" si="0"/>
        <v>2.5793534845025621E-3</v>
      </c>
      <c r="E28" s="3"/>
    </row>
    <row r="29" spans="1:5" ht="15.75" customHeight="1" x14ac:dyDescent="0.3">
      <c r="C29" s="45">
        <v>1051.4100000000001</v>
      </c>
      <c r="D29" s="38">
        <f t="shared" si="0"/>
        <v>-9.3643501896387973E-4</v>
      </c>
      <c r="E29" s="3"/>
    </row>
    <row r="30" spans="1:5" ht="15.75" customHeight="1" x14ac:dyDescent="0.3">
      <c r="C30" s="45">
        <v>1046.98</v>
      </c>
      <c r="D30" s="38">
        <f t="shared" si="0"/>
        <v>-5.1458790920334277E-3</v>
      </c>
      <c r="E30" s="3"/>
    </row>
    <row r="31" spans="1:5" ht="15.75" customHeight="1" x14ac:dyDescent="0.3">
      <c r="C31" s="45">
        <v>1063.58</v>
      </c>
      <c r="D31" s="38">
        <f t="shared" si="0"/>
        <v>1.0627658518114001E-2</v>
      </c>
      <c r="E31" s="3"/>
    </row>
    <row r="32" spans="1:5" ht="15.75" customHeight="1" x14ac:dyDescent="0.3">
      <c r="C32" s="45">
        <v>1052.3499999999999</v>
      </c>
      <c r="D32" s="38">
        <f t="shared" si="0"/>
        <v>-4.3234696461714838E-5</v>
      </c>
      <c r="E32" s="3"/>
    </row>
    <row r="33" spans="1:7" ht="15.75" customHeight="1" x14ac:dyDescent="0.3">
      <c r="C33" s="45">
        <v>1042.8399999999999</v>
      </c>
      <c r="D33" s="38">
        <f t="shared" si="0"/>
        <v>-9.0797613634799514E-3</v>
      </c>
      <c r="E33" s="3"/>
    </row>
    <row r="34" spans="1:7" ht="15.75" customHeight="1" x14ac:dyDescent="0.3">
      <c r="C34" s="45">
        <v>1054.76</v>
      </c>
      <c r="D34" s="38">
        <f t="shared" si="0"/>
        <v>2.2467788963368876E-3</v>
      </c>
      <c r="E34" s="3"/>
    </row>
    <row r="35" spans="1:7" ht="15.75" customHeight="1" x14ac:dyDescent="0.3">
      <c r="C35" s="45">
        <v>1051.5899999999999</v>
      </c>
      <c r="D35" s="38">
        <f t="shared" si="0"/>
        <v>-7.6539665933592971E-4</v>
      </c>
      <c r="E35" s="3"/>
    </row>
    <row r="36" spans="1:7" ht="15.75" customHeight="1" x14ac:dyDescent="0.3">
      <c r="C36" s="45">
        <v>1046.8900000000001</v>
      </c>
      <c r="D36" s="38">
        <f t="shared" si="0"/>
        <v>-5.2313982718474022E-3</v>
      </c>
      <c r="E36" s="3"/>
    </row>
    <row r="37" spans="1:7" ht="15.75" customHeight="1" x14ac:dyDescent="0.3">
      <c r="C37" s="45">
        <v>1046.8699999999999</v>
      </c>
      <c r="D37" s="38">
        <f t="shared" si="0"/>
        <v>-5.2504025340285023E-3</v>
      </c>
      <c r="E37" s="3"/>
    </row>
    <row r="38" spans="1:7" ht="15.75" customHeight="1" x14ac:dyDescent="0.3">
      <c r="C38" s="45">
        <v>1053.8</v>
      </c>
      <c r="D38" s="38">
        <f t="shared" si="0"/>
        <v>1.3345743116536233E-3</v>
      </c>
      <c r="E38" s="3"/>
    </row>
    <row r="39" spans="1:7" ht="15.75" customHeight="1" x14ac:dyDescent="0.3">
      <c r="C39" s="45">
        <v>1051.48</v>
      </c>
      <c r="D39" s="38">
        <f t="shared" si="0"/>
        <v>-8.699201013307881E-4</v>
      </c>
      <c r="E39" s="3"/>
    </row>
    <row r="40" spans="1:7" ht="15.75" customHeight="1" x14ac:dyDescent="0.3">
      <c r="C40" s="45">
        <v>1056.3399999999999</v>
      </c>
      <c r="D40" s="38">
        <f t="shared" si="0"/>
        <v>3.7481156086279677E-3</v>
      </c>
      <c r="E40" s="3"/>
    </row>
    <row r="41" spans="1:7" ht="15.75" customHeight="1" x14ac:dyDescent="0.3">
      <c r="C41" s="45">
        <v>1049.75</v>
      </c>
      <c r="D41" s="38">
        <f t="shared" si="0"/>
        <v>-2.5137887799787091E-3</v>
      </c>
      <c r="E41" s="3"/>
    </row>
    <row r="42" spans="1:7" ht="15.75" customHeight="1" x14ac:dyDescent="0.3">
      <c r="C42" s="45">
        <v>1047.47</v>
      </c>
      <c r="D42" s="38">
        <f t="shared" si="0"/>
        <v>-4.6802746686013539E-3</v>
      </c>
      <c r="E42" s="3"/>
    </row>
    <row r="43" spans="1:7" ht="16.5" customHeight="1" x14ac:dyDescent="0.3">
      <c r="C43" s="46">
        <v>1049.0999999999999</v>
      </c>
      <c r="D43" s="39">
        <f t="shared" si="0"/>
        <v>-3.1314273008580655E-3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21047.91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1052.3955000000001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6">
        <f>C46</f>
        <v>1052.3955000000001</v>
      </c>
      <c r="C49" s="43">
        <f>-IF(C46&lt;=80,10%,IF(C46&lt;250,7.5%,5%))</f>
        <v>-0.05</v>
      </c>
      <c r="D49" s="31">
        <f>IF(C46&lt;=80,C46*0.9,IF(C46&lt;250,C46*0.925,C46*0.95))</f>
        <v>999.77572500000008</v>
      </c>
    </row>
    <row r="50" spans="1:6" ht="17.25" customHeight="1" x14ac:dyDescent="0.3">
      <c r="B50" s="557"/>
      <c r="C50" s="44">
        <f>IF(C46&lt;=80, 10%, IF(C46&lt;250, 7.5%, 5%))</f>
        <v>0.05</v>
      </c>
      <c r="D50" s="31">
        <f>IF(C46&lt;=80, C46*1.1, IF(C46&lt;250, C46*1.075, C46*1.05))</f>
        <v>1105.0152750000002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</vt:lpstr>
      <vt:lpstr>Sulfamethoxazole</vt:lpstr>
      <vt:lpstr>Trimethoprim</vt:lpstr>
      <vt:lpstr>sst trim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2017-08-04T07:41:39Z</cp:lastPrinted>
  <dcterms:created xsi:type="dcterms:W3CDTF">2005-07-05T10:19:27Z</dcterms:created>
  <dcterms:modified xsi:type="dcterms:W3CDTF">2017-08-04T07:43:26Z</dcterms:modified>
</cp:coreProperties>
</file>