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B42" i="1"/>
  <c r="C124" i="3"/>
  <c r="B116" i="3"/>
  <c r="D100" i="3"/>
  <c r="D101" i="3"/>
  <c r="B98" i="3"/>
  <c r="F95" i="3"/>
  <c r="D95" i="3"/>
  <c r="I92" i="3"/>
  <c r="B87" i="3"/>
  <c r="F97" i="3"/>
  <c r="F98" i="3"/>
  <c r="F99" i="3"/>
  <c r="B81" i="3"/>
  <c r="B83" i="3"/>
  <c r="B80" i="3"/>
  <c r="B79" i="3"/>
  <c r="C76" i="3"/>
  <c r="B68" i="3"/>
  <c r="B57" i="3"/>
  <c r="B69" i="3"/>
  <c r="C56" i="3"/>
  <c r="B55" i="3"/>
  <c r="B45" i="3"/>
  <c r="D48" i="3"/>
  <c r="F42" i="3"/>
  <c r="D42" i="3"/>
  <c r="B34" i="3"/>
  <c r="D44" i="3"/>
  <c r="B30" i="3"/>
  <c r="D49" i="2"/>
  <c r="C49" i="2"/>
  <c r="C46" i="2"/>
  <c r="C45" i="2"/>
  <c r="D43" i="2"/>
  <c r="D40" i="2"/>
  <c r="D39" i="2"/>
  <c r="D36" i="2"/>
  <c r="D35" i="2"/>
  <c r="D32" i="2"/>
  <c r="D31" i="2"/>
  <c r="D28" i="2"/>
  <c r="D27" i="2"/>
  <c r="D24" i="2"/>
  <c r="C19" i="2"/>
  <c r="B53" i="1"/>
  <c r="E51" i="1"/>
  <c r="D51" i="1"/>
  <c r="C51" i="1"/>
  <c r="B51" i="1"/>
  <c r="B52" i="1"/>
  <c r="B32" i="1"/>
  <c r="E30" i="1"/>
  <c r="D30" i="1"/>
  <c r="C30" i="1"/>
  <c r="B30" i="1"/>
  <c r="B31" i="1"/>
  <c r="I39" i="3"/>
  <c r="D45" i="3"/>
  <c r="D46" i="3"/>
  <c r="D49" i="3"/>
  <c r="D102" i="3"/>
  <c r="F44" i="3"/>
  <c r="F45" i="3"/>
  <c r="F46" i="3"/>
  <c r="D25" i="2"/>
  <c r="D29" i="2"/>
  <c r="D33" i="2"/>
  <c r="D37" i="2"/>
  <c r="D41" i="2"/>
  <c r="C50" i="2"/>
  <c r="D97" i="3"/>
  <c r="D98" i="3"/>
  <c r="D26" i="2"/>
  <c r="D30" i="2"/>
  <c r="D34" i="2"/>
  <c r="D38" i="2"/>
  <c r="D42" i="2"/>
  <c r="B49" i="2"/>
  <c r="D50" i="2"/>
  <c r="E39" i="3"/>
  <c r="E40" i="3"/>
  <c r="E41" i="3"/>
  <c r="G92" i="3"/>
  <c r="G95" i="3"/>
  <c r="G91" i="3"/>
  <c r="E38" i="3"/>
  <c r="E94" i="3"/>
  <c r="G94" i="3"/>
  <c r="G40" i="3"/>
  <c r="G41" i="3"/>
  <c r="G93" i="3"/>
  <c r="G39" i="3"/>
  <c r="G38" i="3"/>
  <c r="E42" i="3"/>
  <c r="G42" i="3"/>
  <c r="D50" i="3"/>
  <c r="G69" i="3"/>
  <c r="H69" i="3"/>
  <c r="D52" i="3"/>
  <c r="G65" i="3"/>
  <c r="H65" i="3"/>
  <c r="G62" i="3"/>
  <c r="H62" i="3"/>
  <c r="G61" i="3"/>
  <c r="H61" i="3"/>
  <c r="G60" i="3"/>
  <c r="G66" i="3"/>
  <c r="H66" i="3"/>
  <c r="G70" i="3"/>
  <c r="H70" i="3"/>
  <c r="G64" i="3"/>
  <c r="H64" i="3"/>
  <c r="G63" i="3"/>
  <c r="H63" i="3"/>
  <c r="G71" i="3"/>
  <c r="H71" i="3"/>
  <c r="G68" i="3"/>
  <c r="H68" i="3"/>
  <c r="G67" i="3"/>
  <c r="H67" i="3"/>
  <c r="D51" i="3"/>
  <c r="E112" i="3"/>
  <c r="F112" i="3"/>
  <c r="E110" i="3"/>
  <c r="F110" i="3"/>
  <c r="E108" i="3"/>
  <c r="F108" i="3"/>
  <c r="E113" i="3"/>
  <c r="F113" i="3"/>
  <c r="E111" i="3"/>
  <c r="F111" i="3"/>
  <c r="E109" i="3"/>
  <c r="F109" i="3"/>
  <c r="G74" i="3"/>
  <c r="H60" i="3"/>
  <c r="H72" i="3"/>
  <c r="G72" i="3"/>
  <c r="G73" i="3"/>
  <c r="H74" i="3"/>
  <c r="G76" i="3"/>
  <c r="H73" i="3"/>
  <c r="F119" i="3"/>
  <c r="E92" i="3"/>
  <c r="D99" i="3"/>
  <c r="E93" i="3"/>
  <c r="D103" i="3"/>
  <c r="D104" i="3"/>
  <c r="E91" i="3"/>
  <c r="E120" i="3"/>
  <c r="E119" i="3"/>
  <c r="E95" i="3"/>
  <c r="F117" i="3"/>
  <c r="F120" i="3"/>
  <c r="F115" i="3"/>
  <c r="F125" i="3"/>
  <c r="E117" i="3"/>
  <c r="E115" i="3"/>
  <c r="E116" i="3"/>
  <c r="D125" i="3"/>
  <c r="D105" i="3"/>
  <c r="G124" i="3"/>
  <c r="F116" i="3"/>
</calcChain>
</file>

<file path=xl/sharedStrings.xml><?xml version="1.0" encoding="utf-8"?>
<sst xmlns="http://schemas.openxmlformats.org/spreadsheetml/2006/main" count="242" uniqueCount="139">
  <si>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</si>
  <si>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</si>
  <si>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</si>
  <si>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</si>
  <si>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</si>
  <si>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</si>
  <si>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</si>
  <si>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NDQB201707013</t>
  </si>
  <si>
    <t>Weight (mg):</t>
  </si>
  <si>
    <t>Nevirapine USP</t>
  </si>
  <si>
    <t>Standard Conc (mg/mL):</t>
  </si>
  <si>
    <t>Each tablet contains: 200 mg of Nevirapine USP.</t>
  </si>
  <si>
    <t>2017-07-19 08:41:18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</si>
  <si>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</si>
  <si>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</si>
  <si>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</si>
  <si>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</si>
  <si>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</si>
  <si>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</si>
  <si>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</si>
  <si>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</si>
  <si>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</si>
  <si>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indexed="8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</si>
  <si>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</rPr>
      <t>greater than 2000</t>
    </r>
  </si>
  <si>
    <r>
      <t>The Assymetry of all peaks were below</t>
    </r>
    <r>
      <rPr>
        <b/>
        <sz val="12"/>
        <color indexed="8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</si>
  <si>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</si>
  <si>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</si>
  <si>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</si>
  <si>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</si>
  <si>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</si>
  <si>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</si>
  <si>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</si>
  <si>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</si>
  <si>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</si>
  <si>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</si>
  <si>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</si>
  <si>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</si>
  <si>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</si>
  <si>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</si>
  <si>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</si>
  <si>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</si>
  <si>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</si>
  <si>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</si>
  <si>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</si>
  <si>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</si>
  <si>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</si>
  <si>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</si>
  <si>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</si>
  <si>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</si>
  <si>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</si>
  <si>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</si>
  <si>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</si>
  <si>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</si>
  <si>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</si>
  <si>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</si>
  <si>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</si>
  <si>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</si>
  <si>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</si>
  <si>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</si>
  <si>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</si>
  <si>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</si>
  <si>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</si>
  <si>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</si>
  <si>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</si>
  <si>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</si>
  <si>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</si>
  <si>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Standard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</si>
  <si>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</si>
  <si>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Standard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</si>
  <si>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Volume (mL: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</si>
  <si>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</si>
  <si>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</si>
  <si>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</si>
  <si>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</si>
  <si>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</si>
  <si>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</si>
  <si>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</si>
  <si>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</si>
  <si>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</si>
  <si>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</si>
  <si>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</si>
  <si>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</si>
  <si>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</si>
  <si>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</si>
  <si>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</si>
  <si>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</si>
  <si>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</si>
  <si>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</si>
  <si>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</si>
  <si>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</si>
  <si>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</si>
  <si>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</si>
  <si>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</si>
  <si>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</si>
  <si>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</si>
  <si>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Final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</si>
  <si>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Transfer Volume (mL):</t>
    </r>
  </si>
  <si>
    <r>
      <t>2</t>
    </r>
    <r>
      <rPr>
        <vertAlign val="superscript"/>
        <sz val="14"/>
        <color indexed="8"/>
        <rFont val="Book Antiqua"/>
      </rPr>
      <t>nd</t>
    </r>
    <r>
      <rPr>
        <sz val="14"/>
        <color indexed="8"/>
        <rFont val="Book Antiqua"/>
      </rPr>
      <t xml:space="preserve"> Dilution Sample Final Volume (mL):</t>
    </r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</si>
  <si>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</si>
  <si>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</si>
  <si>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indexed="8"/>
        <rFont val="Book Antiqua"/>
      </rPr>
      <t>rd</t>
    </r>
    <r>
      <rPr>
        <sz val="14"/>
        <color indexed="8"/>
        <rFont val="Book Antiqua"/>
      </rPr>
      <t xml:space="preserve"> Dilution Sample Final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</si>
  <si>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Transfer Volume (mL):</t>
    </r>
  </si>
  <si>
    <r>
      <t>4</t>
    </r>
    <r>
      <rPr>
        <vertAlign val="superscript"/>
        <sz val="14"/>
        <color indexed="8"/>
        <rFont val="Book Antiqua"/>
      </rPr>
      <t>th</t>
    </r>
    <r>
      <rPr>
        <sz val="14"/>
        <color indexed="8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</si>
  <si>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</si>
  <si>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</si>
  <si>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</si>
  <si>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</si>
  <si>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</si>
  <si>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</si>
  <si>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</si>
  <si>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</si>
  <si>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</si>
  <si>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</si>
  <si>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</si>
  <si>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</si>
  <si>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</si>
  <si>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</si>
  <si>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</si>
  <si>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</si>
  <si>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</si>
  <si>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</si>
  <si>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</si>
  <si>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indexed="8"/>
        <rFont val="Book Antiqua"/>
      </rPr>
      <t>st</t>
    </r>
    <r>
      <rPr>
        <sz val="14"/>
        <color indexed="8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</si>
  <si>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</si>
  <si>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</si>
  <si>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</si>
  <si>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</si>
  <si>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</si>
  <si>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</si>
  <si>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</si>
  <si>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</si>
  <si>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</si>
  <si>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>9th Sept. 2017</t>
  </si>
  <si>
    <t>6th Sept. 2017</t>
  </si>
  <si>
    <t>Nevirapine</t>
  </si>
  <si>
    <t>N1-6</t>
  </si>
  <si>
    <t>DR.</t>
  </si>
  <si>
    <t>PETER NGUMO</t>
  </si>
  <si>
    <t>NEVIRAPINE 200 mg TABLETS 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</si>
</sst>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27" x14ac:knownFonts="1">
    <font>
      <sz val="10"/>
      <color rgb="FF000000"/>
      <name val="Arial"/>
    </font>
    <font>
      <b/>
      <sz val="12"/>
      <color indexed="8"/>
      <name val="Book Antiqua"/>
    </font>
    <font>
      <sz val="14"/>
      <color indexed="8"/>
      <name val="Book Antiqua"/>
    </font>
    <font>
      <vertAlign val="superscript"/>
      <sz val="14"/>
      <color indexed="8"/>
      <name val="Book Antiqua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2"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2" fontId="7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2" borderId="3" xfId="0" applyFont="1" applyFill="1" applyBorder="1" applyAlignment="1" applyProtection="1">
      <alignment horizontal="center"/>
      <protection locked="0"/>
    </xf>
    <xf numFmtId="2" fontId="9" fillId="2" borderId="3" xfId="0" applyNumberFormat="1" applyFont="1" applyFill="1" applyBorder="1" applyAlignment="1" applyProtection="1">
      <alignment horizontal="center"/>
      <protection locked="0"/>
    </xf>
    <xf numFmtId="2" fontId="9" fillId="2" borderId="4" xfId="0" applyNumberFormat="1" applyFont="1" applyFill="1" applyBorder="1" applyAlignment="1" applyProtection="1">
      <alignment horizontal="center"/>
      <protection locked="0"/>
    </xf>
    <xf numFmtId="0" fontId="9" fillId="2" borderId="5" xfId="0" applyFont="1" applyFill="1" applyBorder="1" applyAlignment="1" applyProtection="1">
      <alignment horizontal="center"/>
      <protection locked="0"/>
    </xf>
    <xf numFmtId="2" fontId="9" fillId="2" borderId="5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Fill="1" applyBorder="1"/>
    <xf numFmtId="1" fontId="7" fillId="3" borderId="2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8" fillId="0" borderId="3" xfId="0" applyFont="1" applyFill="1" applyBorder="1"/>
    <xf numFmtId="10" fontId="7" fillId="4" borderId="1" xfId="0" applyNumberFormat="1" applyFont="1" applyFill="1" applyBorder="1" applyAlignment="1">
      <alignment horizontal="center"/>
    </xf>
    <xf numFmtId="165" fontId="7" fillId="0" borderId="0" xfId="0" applyNumberFormat="1" applyFont="1" applyFill="1" applyAlignment="1">
      <alignment horizontal="center"/>
    </xf>
    <xf numFmtId="0" fontId="8" fillId="0" borderId="6" xfId="0" applyFont="1" applyFill="1" applyBorder="1"/>
    <xf numFmtId="0" fontId="8" fillId="0" borderId="5" xfId="0" applyFont="1" applyFill="1" applyBorder="1"/>
    <xf numFmtId="0" fontId="7" fillId="3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7" xfId="0" applyFont="1" applyFill="1" applyBorder="1"/>
    <xf numFmtId="0" fontId="8" fillId="0" borderId="8" xfId="0" applyFont="1" applyFill="1" applyBorder="1"/>
    <xf numFmtId="0" fontId="8" fillId="0" borderId="0" xfId="0" applyFont="1" applyFill="1"/>
    <xf numFmtId="0" fontId="8" fillId="0" borderId="0" xfId="0" applyFont="1" applyFill="1" applyAlignment="1" applyProtection="1">
      <alignment horizontal="left"/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5" fillId="0" borderId="9" xfId="0" applyFont="1" applyFill="1" applyBorder="1"/>
    <xf numFmtId="0" fontId="5" fillId="0" borderId="0" xfId="0" applyFont="1" applyFill="1" applyAlignment="1">
      <alignment horizontal="center"/>
    </xf>
    <xf numFmtId="10" fontId="5" fillId="0" borderId="9" xfId="0" applyNumberFormat="1" applyFont="1" applyFill="1" applyBorder="1"/>
    <xf numFmtId="0" fontId="0" fillId="0" borderId="0" xfId="0" applyFill="1"/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7" xfId="0" applyFont="1" applyFill="1" applyBorder="1"/>
    <xf numFmtId="0" fontId="5" fillId="0" borderId="7" xfId="0" applyFont="1" applyFill="1" applyBorder="1"/>
    <xf numFmtId="0" fontId="4" fillId="0" borderId="11" xfId="0" applyFont="1" applyFill="1" applyBorder="1"/>
    <xf numFmtId="0" fontId="5" fillId="0" borderId="11" xfId="0" applyFont="1" applyFill="1" applyBorder="1"/>
    <xf numFmtId="0" fontId="5" fillId="0" borderId="0" xfId="0" applyFont="1" applyFill="1" applyAlignment="1">
      <alignment horizontal="center"/>
    </xf>
    <xf numFmtId="10" fontId="8" fillId="0" borderId="0" xfId="0" applyNumberFormat="1" applyFont="1" applyFill="1" applyAlignment="1">
      <alignment horizontal="center"/>
    </xf>
    <xf numFmtId="166" fontId="5" fillId="0" borderId="0" xfId="0" applyNumberFormat="1" applyFont="1" applyFill="1" applyAlignment="1">
      <alignment horizontal="center"/>
    </xf>
    <xf numFmtId="10" fontId="5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64" fontId="4" fillId="0" borderId="0" xfId="0" applyNumberFormat="1" applyFont="1" applyFill="1"/>
    <xf numFmtId="2" fontId="10" fillId="0" borderId="0" xfId="0" applyNumberFormat="1" applyFont="1" applyFill="1"/>
    <xf numFmtId="0" fontId="6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0" fontId="8" fillId="0" borderId="9" xfId="0" applyFont="1" applyFill="1" applyBorder="1"/>
    <xf numFmtId="0" fontId="8" fillId="0" borderId="0" xfId="0" applyFont="1" applyFill="1" applyAlignment="1">
      <alignment horizontal="center"/>
    </xf>
    <xf numFmtId="10" fontId="8" fillId="0" borderId="9" xfId="0" applyNumberFormat="1" applyFont="1" applyFill="1" applyBorder="1"/>
    <xf numFmtId="0" fontId="11" fillId="0" borderId="0" xfId="0" applyFont="1" applyFill="1"/>
    <xf numFmtId="0" fontId="7" fillId="0" borderId="10" xfId="0" applyFont="1" applyFill="1" applyBorder="1"/>
    <xf numFmtId="0" fontId="7" fillId="0" borderId="10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7" xfId="0" applyFont="1" applyFill="1" applyBorder="1"/>
    <xf numFmtId="0" fontId="8" fillId="0" borderId="0" xfId="0" applyFont="1" applyFill="1"/>
    <xf numFmtId="0" fontId="8" fillId="0" borderId="7" xfId="0" applyFont="1" applyFill="1" applyBorder="1"/>
    <xf numFmtId="0" fontId="7" fillId="0" borderId="11" xfId="0" applyFont="1" applyFill="1" applyBorder="1"/>
    <xf numFmtId="0" fontId="7" fillId="0" borderId="0" xfId="0" applyFont="1" applyFill="1"/>
    <xf numFmtId="0" fontId="8" fillId="0" borderId="11" xfId="0" applyFont="1" applyFill="1" applyBorder="1"/>
    <xf numFmtId="167" fontId="8" fillId="0" borderId="0" xfId="0" applyNumberFormat="1" applyFont="1" applyFill="1"/>
    <xf numFmtId="166" fontId="8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10" fontId="5" fillId="0" borderId="0" xfId="0" applyNumberFormat="1" applyFont="1" applyFill="1"/>
    <xf numFmtId="2" fontId="7" fillId="0" borderId="12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right" vertical="center"/>
    </xf>
    <xf numFmtId="166" fontId="8" fillId="0" borderId="12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wrapText="1"/>
    </xf>
    <xf numFmtId="164" fontId="7" fillId="0" borderId="12" xfId="0" applyNumberFormat="1" applyFont="1" applyFill="1" applyBorder="1" applyAlignment="1">
      <alignment horizontal="center" wrapText="1"/>
    </xf>
    <xf numFmtId="10" fontId="8" fillId="0" borderId="13" xfId="0" applyNumberFormat="1" applyFont="1" applyFill="1" applyBorder="1" applyAlignment="1">
      <alignment horizontal="center"/>
    </xf>
    <xf numFmtId="10" fontId="8" fillId="0" borderId="14" xfId="0" applyNumberFormat="1" applyFont="1" applyFill="1" applyBorder="1" applyAlignment="1">
      <alignment horizontal="center"/>
    </xf>
    <xf numFmtId="10" fontId="8" fillId="0" borderId="15" xfId="0" applyNumberFormat="1" applyFont="1" applyFill="1" applyBorder="1" applyAlignment="1">
      <alignment horizontal="center"/>
    </xf>
    <xf numFmtId="0" fontId="6" fillId="0" borderId="0" xfId="0" applyFont="1" applyFill="1"/>
    <xf numFmtId="0" fontId="12" fillId="0" borderId="0" xfId="0" applyFont="1" applyFill="1" applyAlignment="1">
      <alignment wrapText="1"/>
    </xf>
    <xf numFmtId="0" fontId="7" fillId="0" borderId="12" xfId="0" applyFont="1" applyFill="1" applyBorder="1" applyAlignment="1">
      <alignment horizontal="center" vertical="center"/>
    </xf>
    <xf numFmtId="165" fontId="7" fillId="0" borderId="16" xfId="0" applyNumberFormat="1" applyFont="1" applyFill="1" applyBorder="1" applyAlignment="1">
      <alignment horizontal="center"/>
    </xf>
    <xf numFmtId="165" fontId="7" fillId="0" borderId="17" xfId="0" applyNumberFormat="1" applyFont="1" applyFill="1" applyBorder="1" applyAlignment="1">
      <alignment horizontal="center"/>
    </xf>
    <xf numFmtId="2" fontId="8" fillId="2" borderId="14" xfId="0" applyNumberFormat="1" applyFont="1" applyFill="1" applyBorder="1" applyProtection="1">
      <protection locked="0"/>
    </xf>
    <xf numFmtId="2" fontId="8" fillId="2" borderId="15" xfId="0" applyNumberFormat="1" applyFont="1" applyFill="1" applyBorder="1" applyProtection="1">
      <protection locked="0"/>
    </xf>
    <xf numFmtId="167" fontId="8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 applyAlignment="1" applyProtection="1">
      <alignment horizontal="left"/>
      <protection locked="0"/>
    </xf>
    <xf numFmtId="0" fontId="16" fillId="0" borderId="0" xfId="0" applyFont="1" applyFill="1"/>
    <xf numFmtId="0" fontId="16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Protection="1">
      <protection locked="0"/>
    </xf>
    <xf numFmtId="169" fontId="13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4" fillId="0" borderId="0" xfId="0" applyFont="1" applyFill="1" applyAlignment="1">
      <alignment horizontal="right"/>
    </xf>
    <xf numFmtId="0" fontId="13" fillId="0" borderId="0" xfId="0" applyFont="1" applyFill="1" applyAlignment="1">
      <alignment horizontal="right"/>
    </xf>
    <xf numFmtId="0" fontId="15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/>
    </xf>
    <xf numFmtId="0" fontId="19" fillId="0" borderId="0" xfId="0" applyFont="1" applyFill="1"/>
    <xf numFmtId="0" fontId="20" fillId="0" borderId="0" xfId="0" applyFont="1" applyFill="1"/>
    <xf numFmtId="2" fontId="15" fillId="2" borderId="0" xfId="0" applyNumberFormat="1" applyFont="1" applyFill="1" applyAlignment="1" applyProtection="1">
      <alignment horizontal="center"/>
      <protection locked="0"/>
    </xf>
    <xf numFmtId="0" fontId="14" fillId="0" borderId="0" xfId="0" applyFont="1" applyFill="1" applyAlignment="1">
      <alignment vertical="center" wrapText="1"/>
    </xf>
    <xf numFmtId="0" fontId="21" fillId="0" borderId="0" xfId="0" applyFont="1" applyFill="1"/>
    <xf numFmtId="2" fontId="14" fillId="0" borderId="0" xfId="0" applyNumberFormat="1" applyFont="1" applyFill="1" applyAlignment="1">
      <alignment horizontal="center"/>
    </xf>
    <xf numFmtId="0" fontId="22" fillId="0" borderId="0" xfId="0" applyFont="1" applyFill="1" applyAlignment="1">
      <alignment horizontal="left" vertical="center" wrapText="1"/>
    </xf>
    <xf numFmtId="170" fontId="14" fillId="0" borderId="0" xfId="0" applyNumberFormat="1" applyFont="1" applyFill="1" applyAlignment="1">
      <alignment horizontal="center"/>
    </xf>
    <xf numFmtId="0" fontId="13" fillId="0" borderId="18" xfId="0" applyFont="1" applyFill="1" applyBorder="1" applyAlignment="1">
      <alignment horizontal="right"/>
    </xf>
    <xf numFmtId="0" fontId="15" fillId="2" borderId="19" xfId="0" applyFont="1" applyFill="1" applyBorder="1" applyAlignment="1" applyProtection="1">
      <alignment horizontal="center"/>
      <protection locked="0"/>
    </xf>
    <xf numFmtId="0" fontId="13" fillId="0" borderId="20" xfId="0" applyFont="1" applyFill="1" applyBorder="1" applyAlignment="1">
      <alignment horizontal="right"/>
    </xf>
    <xf numFmtId="0" fontId="15" fillId="2" borderId="21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71" fontId="13" fillId="0" borderId="23" xfId="0" applyNumberFormat="1" applyFont="1" applyFill="1" applyBorder="1" applyAlignment="1">
      <alignment horizontal="center"/>
    </xf>
    <xf numFmtId="171" fontId="13" fillId="0" borderId="26" xfId="0" applyNumberFormat="1" applyFont="1" applyFill="1" applyBorder="1" applyAlignment="1">
      <alignment horizontal="center"/>
    </xf>
    <xf numFmtId="0" fontId="21" fillId="0" borderId="13" xfId="0" applyFont="1" applyFill="1" applyBorder="1"/>
    <xf numFmtId="0" fontId="13" fillId="0" borderId="21" xfId="0" applyFont="1" applyFill="1" applyBorder="1" applyAlignment="1">
      <alignment horizontal="center"/>
    </xf>
    <xf numFmtId="0" fontId="15" fillId="2" borderId="20" xfId="0" applyFont="1" applyFill="1" applyBorder="1" applyAlignment="1" applyProtection="1">
      <alignment horizontal="center"/>
      <protection locked="0"/>
    </xf>
    <xf numFmtId="171" fontId="13" fillId="0" borderId="27" xfId="0" applyNumberFormat="1" applyFont="1" applyFill="1" applyBorder="1" applyAlignment="1">
      <alignment horizontal="center"/>
    </xf>
    <xf numFmtId="171" fontId="13" fillId="0" borderId="28" xfId="0" applyNumberFormat="1" applyFont="1" applyFill="1" applyBorder="1" applyAlignment="1">
      <alignment horizontal="center"/>
    </xf>
    <xf numFmtId="0" fontId="13" fillId="0" borderId="0" xfId="0" applyFont="1" applyFill="1"/>
    <xf numFmtId="0" fontId="13" fillId="0" borderId="29" xfId="0" applyFont="1" applyFill="1" applyBorder="1" applyAlignment="1">
      <alignment horizontal="center"/>
    </xf>
    <xf numFmtId="0" fontId="15" fillId="2" borderId="30" xfId="0" applyFont="1" applyFill="1" applyBorder="1" applyAlignment="1" applyProtection="1">
      <alignment horizontal="center"/>
      <protection locked="0"/>
    </xf>
    <xf numFmtId="171" fontId="13" fillId="0" borderId="31" xfId="0" applyNumberFormat="1" applyFont="1" applyFill="1" applyBorder="1" applyAlignment="1">
      <alignment horizontal="center"/>
    </xf>
    <xf numFmtId="171" fontId="13" fillId="0" borderId="32" xfId="0" applyNumberFormat="1" applyFont="1" applyFill="1" applyBorder="1" applyAlignment="1">
      <alignment horizontal="center"/>
    </xf>
    <xf numFmtId="0" fontId="13" fillId="0" borderId="15" xfId="0" applyFont="1" applyFill="1" applyBorder="1"/>
    <xf numFmtId="0" fontId="13" fillId="0" borderId="21" xfId="0" applyFont="1" applyFill="1" applyBorder="1" applyAlignment="1">
      <alignment horizontal="right"/>
    </xf>
    <xf numFmtId="1" fontId="14" fillId="5" borderId="33" xfId="0" applyNumberFormat="1" applyFont="1" applyFill="1" applyBorder="1" applyAlignment="1">
      <alignment horizontal="center"/>
    </xf>
    <xf numFmtId="171" fontId="14" fillId="5" borderId="34" xfId="0" applyNumberFormat="1" applyFont="1" applyFill="1" applyBorder="1" applyAlignment="1">
      <alignment horizontal="center"/>
    </xf>
    <xf numFmtId="171" fontId="14" fillId="5" borderId="35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13" fillId="0" borderId="36" xfId="0" applyFont="1" applyFill="1" applyBorder="1" applyAlignment="1">
      <alignment horizontal="right"/>
    </xf>
    <xf numFmtId="0" fontId="15" fillId="2" borderId="16" xfId="0" applyFont="1" applyFill="1" applyBorder="1" applyAlignment="1" applyProtection="1">
      <alignment horizontal="center"/>
      <protection locked="0"/>
    </xf>
    <xf numFmtId="0" fontId="13" fillId="0" borderId="11" xfId="0" applyFont="1" applyFill="1" applyBorder="1" applyAlignment="1">
      <alignment horizontal="right"/>
    </xf>
    <xf numFmtId="2" fontId="13" fillId="5" borderId="37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21" xfId="0" applyFont="1" applyFill="1" applyBorder="1" applyAlignment="1">
      <alignment horizontal="center"/>
    </xf>
    <xf numFmtId="2" fontId="13" fillId="6" borderId="37" xfId="0" applyNumberFormat="1" applyFont="1" applyFill="1" applyBorder="1" applyAlignment="1">
      <alignment horizontal="center"/>
    </xf>
    <xf numFmtId="2" fontId="13" fillId="0" borderId="0" xfId="0" applyNumberFormat="1" applyFont="1" applyFill="1" applyAlignment="1">
      <alignment horizontal="center"/>
    </xf>
    <xf numFmtId="166" fontId="13" fillId="5" borderId="37" xfId="0" applyNumberFormat="1" applyFont="1" applyFill="1" applyBorder="1" applyAlignment="1">
      <alignment horizontal="center"/>
    </xf>
    <xf numFmtId="166" fontId="13" fillId="0" borderId="0" xfId="0" applyNumberFormat="1" applyFont="1" applyFill="1" applyAlignment="1">
      <alignment horizontal="center"/>
    </xf>
    <xf numFmtId="166" fontId="13" fillId="5" borderId="17" xfId="0" applyNumberFormat="1" applyFont="1" applyFill="1" applyBorder="1" applyAlignment="1">
      <alignment horizontal="center"/>
    </xf>
    <xf numFmtId="0" fontId="13" fillId="0" borderId="38" xfId="0" applyFont="1" applyFill="1" applyBorder="1" applyAlignment="1">
      <alignment horizontal="right"/>
    </xf>
    <xf numFmtId="166" fontId="15" fillId="2" borderId="37" xfId="0" applyNumberFormat="1" applyFont="1" applyFill="1" applyBorder="1" applyAlignment="1" applyProtection="1">
      <alignment horizontal="center"/>
      <protection locked="0"/>
    </xf>
    <xf numFmtId="166" fontId="13" fillId="0" borderId="0" xfId="0" applyNumberFormat="1" applyFont="1" applyFill="1"/>
    <xf numFmtId="0" fontId="13" fillId="0" borderId="39" xfId="0" applyFont="1" applyFill="1" applyBorder="1" applyAlignment="1">
      <alignment horizontal="right"/>
    </xf>
    <xf numFmtId="1" fontId="13" fillId="0" borderId="0" xfId="0" applyNumberFormat="1" applyFont="1" applyFill="1" applyAlignment="1">
      <alignment horizontal="center"/>
    </xf>
    <xf numFmtId="0" fontId="13" fillId="0" borderId="15" xfId="0" applyFont="1" applyFill="1" applyBorder="1" applyAlignment="1">
      <alignment horizontal="right"/>
    </xf>
    <xf numFmtId="2" fontId="13" fillId="5" borderId="15" xfId="0" applyNumberFormat="1" applyFont="1" applyFill="1" applyBorder="1" applyAlignment="1">
      <alignment horizontal="center"/>
    </xf>
    <xf numFmtId="171" fontId="14" fillId="6" borderId="13" xfId="0" applyNumberFormat="1" applyFont="1" applyFill="1" applyBorder="1" applyAlignment="1">
      <alignment horizontal="center"/>
    </xf>
    <xf numFmtId="171" fontId="13" fillId="0" borderId="0" xfId="0" applyNumberFormat="1" applyFont="1" applyFill="1" applyAlignment="1">
      <alignment horizontal="center"/>
    </xf>
    <xf numFmtId="10" fontId="13" fillId="5" borderId="37" xfId="0" applyNumberFormat="1" applyFont="1" applyFill="1" applyBorder="1" applyAlignment="1">
      <alignment horizontal="center"/>
    </xf>
    <xf numFmtId="0" fontId="13" fillId="0" borderId="40" xfId="0" applyFont="1" applyFill="1" applyBorder="1" applyAlignment="1">
      <alignment horizontal="right"/>
    </xf>
    <xf numFmtId="0" fontId="13" fillId="6" borderId="15" xfId="0" applyFont="1" applyFill="1" applyBorder="1" applyAlignment="1">
      <alignment horizontal="center"/>
    </xf>
    <xf numFmtId="0" fontId="17" fillId="0" borderId="0" xfId="0" applyFont="1" applyFill="1"/>
    <xf numFmtId="0" fontId="14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72" fontId="15" fillId="2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>
      <alignment horizontal="center"/>
    </xf>
    <xf numFmtId="2" fontId="14" fillId="0" borderId="13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5" fillId="2" borderId="18" xfId="0" applyFont="1" applyFill="1" applyBorder="1" applyAlignment="1" applyProtection="1">
      <alignment horizontal="center"/>
      <protection locked="0"/>
    </xf>
    <xf numFmtId="0" fontId="13" fillId="0" borderId="14" xfId="0" applyFont="1" applyFill="1" applyBorder="1" applyAlignment="1">
      <alignment horizontal="center"/>
    </xf>
    <xf numFmtId="1" fontId="15" fillId="2" borderId="20" xfId="0" applyNumberFormat="1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>
      <alignment horizontal="center"/>
    </xf>
    <xf numFmtId="0" fontId="15" fillId="2" borderId="40" xfId="0" applyFont="1" applyFill="1" applyBorder="1" applyAlignment="1" applyProtection="1">
      <alignment horizontal="center"/>
      <protection locked="0"/>
    </xf>
    <xf numFmtId="0" fontId="16" fillId="0" borderId="21" xfId="0" applyFont="1" applyFill="1" applyBorder="1" applyAlignment="1">
      <alignment horizontal="center"/>
    </xf>
    <xf numFmtId="2" fontId="16" fillId="0" borderId="4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42" xfId="0" applyFont="1" applyFill="1" applyBorder="1" applyAlignment="1">
      <alignment horizontal="right"/>
    </xf>
    <xf numFmtId="0" fontId="13" fillId="0" borderId="37" xfId="0" applyFont="1" applyFill="1" applyBorder="1" applyAlignment="1">
      <alignment horizontal="right"/>
    </xf>
    <xf numFmtId="2" fontId="13" fillId="0" borderId="0" xfId="0" applyNumberFormat="1" applyFont="1" applyFill="1" applyAlignment="1">
      <alignment horizontal="center"/>
    </xf>
    <xf numFmtId="0" fontId="13" fillId="0" borderId="17" xfId="0" applyFont="1" applyFill="1" applyBorder="1" applyAlignment="1">
      <alignment horizontal="right"/>
    </xf>
    <xf numFmtId="0" fontId="15" fillId="6" borderId="43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13" fillId="0" borderId="0" xfId="0" applyFont="1" applyFill="1"/>
    <xf numFmtId="165" fontId="15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2" borderId="0" xfId="0" applyFont="1" applyFill="1" applyAlignment="1" applyProtection="1">
      <alignment horizontal="center"/>
      <protection locked="0"/>
    </xf>
    <xf numFmtId="0" fontId="14" fillId="0" borderId="44" xfId="0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171" fontId="15" fillId="2" borderId="30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>
      <alignment horizontal="right"/>
    </xf>
    <xf numFmtId="1" fontId="14" fillId="5" borderId="46" xfId="0" applyNumberFormat="1" applyFont="1" applyFill="1" applyBorder="1" applyAlignment="1">
      <alignment horizontal="center"/>
    </xf>
    <xf numFmtId="1" fontId="14" fillId="5" borderId="47" xfId="0" applyNumberFormat="1" applyFont="1" applyFill="1" applyBorder="1" applyAlignment="1">
      <alignment horizontal="center"/>
    </xf>
    <xf numFmtId="171" fontId="14" fillId="5" borderId="15" xfId="0" applyNumberFormat="1" applyFont="1" applyFill="1" applyBorder="1" applyAlignment="1">
      <alignment horizontal="center"/>
    </xf>
    <xf numFmtId="0" fontId="13" fillId="0" borderId="48" xfId="0" applyFont="1" applyFill="1" applyBorder="1" applyAlignment="1">
      <alignment horizontal="right"/>
    </xf>
    <xf numFmtId="0" fontId="15" fillId="2" borderId="49" xfId="0" applyFont="1" applyFill="1" applyBorder="1" applyAlignment="1" applyProtection="1">
      <alignment horizontal="center"/>
      <protection locked="0"/>
    </xf>
    <xf numFmtId="0" fontId="13" fillId="0" borderId="22" xfId="0" applyFont="1" applyFill="1" applyBorder="1" applyAlignment="1">
      <alignment horizontal="right"/>
    </xf>
    <xf numFmtId="2" fontId="13" fillId="5" borderId="24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2" fontId="13" fillId="6" borderId="24" xfId="0" applyNumberFormat="1" applyFont="1" applyFill="1" applyBorder="1" applyAlignment="1">
      <alignment horizontal="center"/>
    </xf>
    <xf numFmtId="166" fontId="13" fillId="5" borderId="24" xfId="0" applyNumberFormat="1" applyFont="1" applyFill="1" applyBorder="1" applyAlignment="1">
      <alignment horizontal="center"/>
    </xf>
    <xf numFmtId="0" fontId="5" fillId="0" borderId="0" xfId="0" applyFont="1" applyFill="1"/>
    <xf numFmtId="166" fontId="13" fillId="6" borderId="24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13" fillId="0" borderId="50" xfId="0" applyFont="1" applyFill="1" applyBorder="1" applyAlignment="1">
      <alignment horizontal="right"/>
    </xf>
    <xf numFmtId="2" fontId="13" fillId="6" borderId="26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 wrapText="1"/>
    </xf>
    <xf numFmtId="0" fontId="13" fillId="0" borderId="16" xfId="0" applyFont="1" applyFill="1" applyBorder="1" applyAlignment="1">
      <alignment horizontal="right"/>
    </xf>
    <xf numFmtId="171" fontId="14" fillId="6" borderId="16" xfId="0" applyNumberFormat="1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10" fontId="13" fillId="0" borderId="0" xfId="0" applyNumberFormat="1" applyFont="1" applyFill="1" applyAlignment="1">
      <alignment horizontal="center"/>
    </xf>
    <xf numFmtId="10" fontId="14" fillId="5" borderId="37" xfId="0" applyNumberFormat="1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 wrapText="1"/>
    </xf>
    <xf numFmtId="0" fontId="13" fillId="0" borderId="20" xfId="0" applyFont="1" applyFill="1" applyBorder="1" applyAlignment="1">
      <alignment horizontal="center"/>
    </xf>
    <xf numFmtId="0" fontId="13" fillId="0" borderId="20" xfId="0" applyFont="1" applyFill="1" applyBorder="1"/>
    <xf numFmtId="10" fontId="15" fillId="5" borderId="24" xfId="0" applyNumberFormat="1" applyFont="1" applyFill="1" applyBorder="1" applyAlignment="1">
      <alignment horizontal="center"/>
    </xf>
    <xf numFmtId="0" fontId="13" fillId="0" borderId="40" xfId="0" applyFont="1" applyFill="1" applyBorder="1"/>
    <xf numFmtId="0" fontId="22" fillId="0" borderId="9" xfId="0" applyFont="1" applyFill="1" applyBorder="1" applyAlignment="1">
      <alignment horizontal="left" vertical="center" wrapText="1"/>
    </xf>
    <xf numFmtId="0" fontId="13" fillId="0" borderId="9" xfId="0" applyFont="1" applyFill="1" applyBorder="1"/>
    <xf numFmtId="0" fontId="13" fillId="0" borderId="1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13" fillId="0" borderId="7" xfId="0" applyFont="1" applyFill="1" applyBorder="1"/>
    <xf numFmtId="0" fontId="13" fillId="0" borderId="7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22" fillId="0" borderId="0" xfId="0" applyFont="1" applyFill="1" applyAlignment="1">
      <alignment horizontal="right" vertical="center" wrapText="1"/>
    </xf>
    <xf numFmtId="0" fontId="15" fillId="0" borderId="0" xfId="0" applyFont="1" applyFill="1" applyAlignment="1" applyProtection="1">
      <alignment horizontal="right"/>
      <protection locked="0"/>
    </xf>
    <xf numFmtId="166" fontId="14" fillId="0" borderId="0" xfId="0" applyNumberFormat="1" applyFont="1" applyFill="1" applyAlignment="1" applyProtection="1">
      <alignment horizontal="center"/>
      <protection locked="0"/>
    </xf>
    <xf numFmtId="166" fontId="13" fillId="0" borderId="18" xfId="0" applyNumberFormat="1" applyFont="1" applyFill="1" applyBorder="1" applyAlignment="1">
      <alignment horizontal="center"/>
    </xf>
    <xf numFmtId="166" fontId="13" fillId="0" borderId="20" xfId="0" applyNumberFormat="1" applyFont="1" applyFill="1" applyBorder="1" applyAlignment="1">
      <alignment horizontal="center"/>
    </xf>
    <xf numFmtId="166" fontId="13" fillId="0" borderId="13" xfId="0" applyNumberFormat="1" applyFont="1" applyFill="1" applyBorder="1" applyAlignment="1">
      <alignment horizontal="center"/>
    </xf>
    <xf numFmtId="166" fontId="13" fillId="0" borderId="14" xfId="0" applyNumberFormat="1" applyFont="1" applyFill="1" applyBorder="1" applyAlignment="1">
      <alignment horizontal="center"/>
    </xf>
    <xf numFmtId="166" fontId="13" fillId="0" borderId="15" xfId="0" applyNumberFormat="1" applyFont="1" applyFill="1" applyBorder="1" applyAlignment="1">
      <alignment horizontal="center"/>
    </xf>
    <xf numFmtId="10" fontId="15" fillId="5" borderId="51" xfId="0" applyNumberFormat="1" applyFont="1" applyFill="1" applyBorder="1" applyAlignment="1">
      <alignment horizontal="center"/>
    </xf>
    <xf numFmtId="2" fontId="15" fillId="6" borderId="29" xfId="0" applyNumberFormat="1" applyFont="1" applyFill="1" applyBorder="1" applyAlignment="1">
      <alignment horizontal="center"/>
    </xf>
    <xf numFmtId="0" fontId="16" fillId="0" borderId="0" xfId="0" applyFont="1" applyFill="1"/>
    <xf numFmtId="10" fontId="15" fillId="5" borderId="51" xfId="0" applyNumberFormat="1" applyFont="1" applyFill="1" applyBorder="1" applyAlignment="1">
      <alignment horizontal="center"/>
    </xf>
    <xf numFmtId="171" fontId="13" fillId="0" borderId="16" xfId="0" applyNumberFormat="1" applyFont="1" applyFill="1" applyBorder="1" applyAlignment="1">
      <alignment horizontal="right"/>
    </xf>
    <xf numFmtId="0" fontId="13" fillId="0" borderId="14" xfId="0" applyFont="1" applyFill="1" applyBorder="1" applyAlignment="1">
      <alignment horizontal="right"/>
    </xf>
    <xf numFmtId="2" fontId="15" fillId="6" borderId="52" xfId="0" applyNumberFormat="1" applyFont="1" applyFill="1" applyBorder="1" applyAlignment="1">
      <alignment horizontal="center"/>
    </xf>
    <xf numFmtId="0" fontId="13" fillId="0" borderId="13" xfId="0" applyFont="1" applyFill="1" applyBorder="1"/>
    <xf numFmtId="0" fontId="15" fillId="6" borderId="25" xfId="0" applyFont="1" applyFill="1" applyBorder="1" applyAlignment="1">
      <alignment horizontal="center"/>
    </xf>
    <xf numFmtId="0" fontId="15" fillId="6" borderId="53" xfId="0" applyFont="1" applyFill="1" applyBorder="1" applyAlignment="1">
      <alignment horizontal="center"/>
    </xf>
    <xf numFmtId="2" fontId="15" fillId="5" borderId="51" xfId="0" applyNumberFormat="1" applyFont="1" applyFill="1" applyBorder="1" applyAlignment="1">
      <alignment horizontal="center"/>
    </xf>
    <xf numFmtId="2" fontId="15" fillId="6" borderId="43" xfId="0" applyNumberFormat="1" applyFont="1" applyFill="1" applyBorder="1" applyAlignment="1">
      <alignment horizontal="center"/>
    </xf>
    <xf numFmtId="166" fontId="13" fillId="0" borderId="40" xfId="0" applyNumberFormat="1" applyFont="1" applyFill="1" applyBorder="1" applyAlignment="1">
      <alignment horizontal="center"/>
    </xf>
    <xf numFmtId="173" fontId="13" fillId="0" borderId="13" xfId="0" applyNumberFormat="1" applyFont="1" applyFill="1" applyBorder="1" applyAlignment="1">
      <alignment horizontal="center" vertical="center"/>
    </xf>
    <xf numFmtId="173" fontId="13" fillId="0" borderId="14" xfId="0" applyNumberFormat="1" applyFont="1" applyFill="1" applyBorder="1" applyAlignment="1">
      <alignment horizontal="center" vertical="center"/>
    </xf>
    <xf numFmtId="173" fontId="13" fillId="0" borderId="15" xfId="0" applyNumberFormat="1" applyFont="1" applyFill="1" applyBorder="1" applyAlignment="1">
      <alignment horizontal="center" vertical="center"/>
    </xf>
    <xf numFmtId="173" fontId="15" fillId="6" borderId="29" xfId="0" applyNumberFormat="1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1" fontId="15" fillId="2" borderId="14" xfId="0" applyNumberFormat="1" applyFont="1" applyFill="1" applyBorder="1" applyAlignment="1" applyProtection="1">
      <alignment horizontal="center"/>
      <protection locked="0"/>
    </xf>
    <xf numFmtId="1" fontId="15" fillId="2" borderId="15" xfId="0" applyNumberFormat="1" applyFont="1" applyFill="1" applyBorder="1" applyAlignment="1" applyProtection="1">
      <alignment horizontal="center"/>
      <protection locked="0"/>
    </xf>
    <xf numFmtId="0" fontId="13" fillId="0" borderId="13" xfId="0" applyFont="1" applyFill="1" applyBorder="1" applyAlignment="1">
      <alignment horizontal="center"/>
    </xf>
    <xf numFmtId="1" fontId="15" fillId="2" borderId="13" xfId="0" applyNumberFormat="1" applyFont="1" applyFill="1" applyBorder="1" applyAlignment="1" applyProtection="1">
      <alignment horizontal="center"/>
      <protection locked="0"/>
    </xf>
    <xf numFmtId="173" fontId="13" fillId="0" borderId="19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3" fontId="13" fillId="0" borderId="41" xfId="0" applyNumberFormat="1" applyFont="1" applyFill="1" applyBorder="1" applyAlignment="1">
      <alignment horizontal="center"/>
    </xf>
    <xf numFmtId="173" fontId="13" fillId="0" borderId="21" xfId="0" applyNumberFormat="1" applyFont="1" applyFill="1" applyBorder="1" applyAlignment="1">
      <alignment horizontal="center"/>
    </xf>
    <xf numFmtId="174" fontId="15" fillId="6" borderId="49" xfId="0" applyNumberFormat="1" applyFont="1" applyFill="1" applyBorder="1" applyAlignment="1">
      <alignment horizontal="center"/>
    </xf>
    <xf numFmtId="174" fontId="15" fillId="5" borderId="51" xfId="0" applyNumberFormat="1" applyFont="1" applyFill="1" applyBorder="1" applyAlignment="1">
      <alignment horizontal="center"/>
    </xf>
    <xf numFmtId="174" fontId="15" fillId="6" borderId="43" xfId="0" applyNumberFormat="1" applyFont="1" applyFill="1" applyBorder="1" applyAlignment="1">
      <alignment horizontal="center"/>
    </xf>
    <xf numFmtId="175" fontId="23" fillId="0" borderId="0" xfId="0" applyNumberFormat="1" applyFont="1" applyFill="1" applyAlignment="1">
      <alignment horizontal="center"/>
    </xf>
    <xf numFmtId="174" fontId="15" fillId="0" borderId="0" xfId="0" applyNumberFormat="1" applyFont="1" applyFill="1" applyAlignment="1">
      <alignment horizontal="center"/>
    </xf>
    <xf numFmtId="168" fontId="16" fillId="2" borderId="0" xfId="0" applyNumberFormat="1" applyFont="1" applyFill="1" applyAlignment="1" applyProtection="1">
      <alignment horizontal="center"/>
      <protection locked="0"/>
    </xf>
    <xf numFmtId="0" fontId="15" fillId="2" borderId="19" xfId="0" applyFont="1" applyFill="1" applyBorder="1" applyAlignment="1" applyProtection="1">
      <alignment horizontal="center"/>
      <protection locked="0"/>
    </xf>
    <xf numFmtId="0" fontId="15" fillId="2" borderId="21" xfId="0" applyFont="1" applyFill="1" applyBorder="1" applyAlignment="1" applyProtection="1">
      <alignment horizontal="center"/>
      <protection locked="0"/>
    </xf>
    <xf numFmtId="0" fontId="15" fillId="2" borderId="39" xfId="0" applyFont="1" applyFill="1" applyBorder="1" applyAlignment="1" applyProtection="1">
      <alignment horizontal="center"/>
      <protection locked="0"/>
    </xf>
    <xf numFmtId="0" fontId="15" fillId="2" borderId="2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6" fontId="7" fillId="0" borderId="13" xfId="0" applyNumberFormat="1" applyFont="1" applyFill="1" applyBorder="1" applyAlignment="1">
      <alignment horizontal="center" vertical="center"/>
    </xf>
    <xf numFmtId="166" fontId="7" fillId="0" borderId="15" xfId="0" applyNumberFormat="1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wrapText="1"/>
    </xf>
    <xf numFmtId="0" fontId="12" fillId="0" borderId="55" xfId="0" applyFont="1" applyFill="1" applyBorder="1" applyAlignment="1">
      <alignment horizontal="center" wrapText="1"/>
    </xf>
    <xf numFmtId="0" fontId="12" fillId="0" borderId="56" xfId="0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2" fillId="0" borderId="18" xfId="0" applyFont="1" applyFill="1" applyBorder="1" applyAlignment="1">
      <alignment horizontal="left" vertical="center" wrapText="1"/>
    </xf>
    <xf numFmtId="0" fontId="22" fillId="0" borderId="19" xfId="0" applyFont="1" applyFill="1" applyBorder="1" applyAlignment="1">
      <alignment horizontal="left" vertical="center" wrapText="1"/>
    </xf>
    <xf numFmtId="0" fontId="22" fillId="0" borderId="40" xfId="0" applyFont="1" applyFill="1" applyBorder="1" applyAlignment="1">
      <alignment horizontal="left" vertical="center" wrapText="1"/>
    </xf>
    <xf numFmtId="0" fontId="22" fillId="0" borderId="41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22" fillId="0" borderId="54" xfId="0" applyFont="1" applyFill="1" applyBorder="1" applyAlignment="1">
      <alignment horizontal="justify" vertical="center" wrapText="1"/>
    </xf>
    <xf numFmtId="0" fontId="22" fillId="0" borderId="55" xfId="0" applyFont="1" applyFill="1" applyBorder="1" applyAlignment="1">
      <alignment horizontal="justify" vertical="center" wrapText="1"/>
    </xf>
    <xf numFmtId="0" fontId="22" fillId="0" borderId="56" xfId="0" applyFont="1" applyFill="1" applyBorder="1" applyAlignment="1">
      <alignment horizontal="justify" vertical="center" wrapText="1"/>
    </xf>
    <xf numFmtId="0" fontId="22" fillId="0" borderId="54" xfId="0" applyFont="1" applyFill="1" applyBorder="1" applyAlignment="1">
      <alignment horizontal="left" vertical="center" wrapText="1"/>
    </xf>
    <xf numFmtId="0" fontId="22" fillId="0" borderId="55" xfId="0" applyFont="1" applyFill="1" applyBorder="1" applyAlignment="1">
      <alignment horizontal="left" vertical="center" wrapText="1"/>
    </xf>
    <xf numFmtId="0" fontId="22" fillId="0" borderId="56" xfId="0" applyFont="1" applyFill="1" applyBorder="1" applyAlignment="1">
      <alignment horizontal="left" vertical="center" wrapText="1"/>
    </xf>
    <xf numFmtId="0" fontId="14" fillId="0" borderId="44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10" fontId="18" fillId="0" borderId="14" xfId="0" applyNumberFormat="1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center" wrapText="1"/>
    </xf>
    <xf numFmtId="0" fontId="22" fillId="0" borderId="9" xfId="0" applyFont="1" applyFill="1" applyBorder="1" applyAlignment="1">
      <alignment horizontal="left" vertical="center" wrapText="1"/>
    </xf>
    <xf numFmtId="0" fontId="14" fillId="0" borderId="1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2" fontId="15" fillId="2" borderId="13" xfId="0" applyNumberFormat="1" applyFont="1" applyFill="1" applyBorder="1" applyAlignment="1" applyProtection="1">
      <alignment horizontal="center" vertical="center"/>
      <protection locked="0"/>
    </xf>
    <xf numFmtId="2" fontId="15" fillId="2" borderId="14" xfId="0" applyNumberFormat="1" applyFont="1" applyFill="1" applyBorder="1" applyAlignment="1" applyProtection="1">
      <alignment horizontal="center" vertical="center"/>
      <protection locked="0"/>
    </xf>
    <xf numFmtId="2" fontId="15" fillId="2" borderId="15" xfId="0" applyNumberFormat="1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2" fillId="0" borderId="40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center" vertical="center" wrapText="1"/>
    </xf>
    <xf numFmtId="0" fontId="16" fillId="2" borderId="0" xfId="0" applyFont="1" applyFill="1" applyAlignment="1" applyProtection="1">
      <alignment horizontal="left"/>
      <protection locked="0"/>
    </xf>
    <xf numFmtId="0" fontId="14" fillId="0" borderId="9" xfId="0" applyFont="1" applyFill="1" applyBorder="1" applyAlignment="1">
      <alignment horizontal="center" vertical="center"/>
    </xf>
    <xf numFmtId="0" fontId="15" fillId="2" borderId="0" xfId="0" applyFont="1" applyFill="1" applyAlignment="1" applyProtection="1">
      <alignment horizontal="left" wrapText="1"/>
      <protection locked="0"/>
    </xf>
    <xf numFmtId="0" fontId="22" fillId="0" borderId="54" xfId="0" applyFont="1" applyFill="1" applyBorder="1" applyAlignment="1">
      <alignment horizontal="center"/>
    </xf>
    <xf numFmtId="0" fontId="22" fillId="0" borderId="55" xfId="0" applyFont="1" applyFill="1" applyBorder="1" applyAlignment="1">
      <alignment horizontal="center"/>
    </xf>
    <xf numFmtId="0" fontId="22" fillId="0" borderId="56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 vertical="center"/>
    </xf>
    <xf numFmtId="0" fontId="16" fillId="2" borderId="0" xfId="0" applyFont="1" applyFill="1" applyAlignment="1" applyProtection="1">
      <alignment horizontal="left" wrapText="1"/>
      <protection locked="0"/>
    </xf>
    <xf numFmtId="0" fontId="14" fillId="0" borderId="36" xfId="0" applyFont="1" applyFill="1" applyBorder="1" applyAlignment="1">
      <alignment horizontal="center"/>
    </xf>
    <xf numFmtId="0" fontId="15" fillId="2" borderId="0" xfId="0" applyFont="1" applyFill="1" applyAlignment="1" applyProtection="1">
      <alignment horizontal="left"/>
      <protection locked="0"/>
    </xf>
    <xf numFmtId="0" fontId="14" fillId="0" borderId="44" xfId="0" applyFont="1" applyFill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9"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  <scheme val="none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  <scheme val="none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workbookViewId="0">
      <selection activeCell="C30" sqref="C3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90" t="s">
        <v>0</v>
      </c>
      <c r="B15" s="290"/>
      <c r="C15" s="290"/>
      <c r="D15" s="290"/>
      <c r="E15" s="29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138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25.35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B20/100*2/20</f>
        <v>2.5350000000000001E-2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22426946</v>
      </c>
      <c r="C24" s="18">
        <v>8594.2999999999993</v>
      </c>
      <c r="D24" s="19">
        <v>1.1000000000000001</v>
      </c>
      <c r="E24" s="20">
        <v>9.3000000000000007</v>
      </c>
    </row>
    <row r="25" spans="1:6" ht="16.5" customHeight="1" x14ac:dyDescent="0.3">
      <c r="A25" s="17">
        <v>2</v>
      </c>
      <c r="B25" s="18">
        <v>22466427</v>
      </c>
      <c r="C25" s="18">
        <v>8558</v>
      </c>
      <c r="D25" s="19">
        <v>1.1000000000000001</v>
      </c>
      <c r="E25" s="19">
        <v>9.3000000000000007</v>
      </c>
    </row>
    <row r="26" spans="1:6" ht="16.5" customHeight="1" x14ac:dyDescent="0.3">
      <c r="A26" s="17">
        <v>3</v>
      </c>
      <c r="B26" s="18">
        <v>22522166</v>
      </c>
      <c r="C26" s="18">
        <v>8625.9</v>
      </c>
      <c r="D26" s="19">
        <v>1.1000000000000001</v>
      </c>
      <c r="E26" s="19">
        <v>9.3000000000000007</v>
      </c>
    </row>
    <row r="27" spans="1:6" ht="16.5" customHeight="1" x14ac:dyDescent="0.3">
      <c r="A27" s="17">
        <v>4</v>
      </c>
      <c r="B27" s="18">
        <v>22457532</v>
      </c>
      <c r="C27" s="18">
        <v>8557.1</v>
      </c>
      <c r="D27" s="19">
        <v>1.1000000000000001</v>
      </c>
      <c r="E27" s="19">
        <v>9.3000000000000007</v>
      </c>
    </row>
    <row r="28" spans="1:6" ht="16.5" customHeight="1" x14ac:dyDescent="0.3">
      <c r="A28" s="17">
        <v>5</v>
      </c>
      <c r="B28" s="18">
        <v>22566419</v>
      </c>
      <c r="C28" s="18">
        <v>8634.9</v>
      </c>
      <c r="D28" s="19">
        <v>1.1000000000000001</v>
      </c>
      <c r="E28" s="19">
        <v>9.3000000000000007</v>
      </c>
    </row>
    <row r="29" spans="1:6" ht="16.5" customHeight="1" x14ac:dyDescent="0.3">
      <c r="A29" s="17">
        <v>6</v>
      </c>
      <c r="B29" s="21">
        <v>22465572</v>
      </c>
      <c r="C29" s="21">
        <v>8834.1</v>
      </c>
      <c r="D29" s="22">
        <v>1.1000000000000001</v>
      </c>
      <c r="E29" s="22">
        <v>9.3000000000000007</v>
      </c>
    </row>
    <row r="30" spans="1:6" ht="16.5" customHeight="1" x14ac:dyDescent="0.3">
      <c r="A30" s="23" t="s">
        <v>18</v>
      </c>
      <c r="B30" s="24">
        <f>AVERAGE(B24:B29)</f>
        <v>22484177</v>
      </c>
      <c r="C30" s="341">
        <f>AVERAGE(C24:C29)</f>
        <v>8634.0499999999993</v>
      </c>
      <c r="D30" s="26">
        <f>AVERAGE(D24:D29)</f>
        <v>1.0999999999999999</v>
      </c>
      <c r="E30" s="26">
        <f>AVERAGE(E24:E29)</f>
        <v>9.2999999999999989</v>
      </c>
    </row>
    <row r="31" spans="1:6" ht="16.5" customHeight="1" x14ac:dyDescent="0.3">
      <c r="A31" s="27" t="s">
        <v>19</v>
      </c>
      <c r="B31" s="28">
        <f>(STDEV(B24:B29)/B30)</f>
        <v>2.2550079191883347E-3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289" t="s">
        <v>25</v>
      </c>
    </row>
    <row r="39" spans="1:6" ht="16.5" customHeight="1" x14ac:dyDescent="0.3">
      <c r="A39" s="11" t="s">
        <v>4</v>
      </c>
      <c r="B39" s="9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16.86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B41/100*2/20</f>
        <v>1.686E-2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14991155</v>
      </c>
      <c r="C45" s="18">
        <v>10559.9</v>
      </c>
      <c r="D45" s="19">
        <v>1.1000000000000001</v>
      </c>
      <c r="E45" s="20">
        <v>9.1999999999999993</v>
      </c>
    </row>
    <row r="46" spans="1:6" ht="16.5" customHeight="1" x14ac:dyDescent="0.3">
      <c r="A46" s="17">
        <v>2</v>
      </c>
      <c r="B46" s="18">
        <v>14933280</v>
      </c>
      <c r="C46" s="18">
        <v>10551.7</v>
      </c>
      <c r="D46" s="19">
        <v>1.1000000000000001</v>
      </c>
      <c r="E46" s="19">
        <v>9.1999999999999993</v>
      </c>
    </row>
    <row r="47" spans="1:6" ht="16.5" customHeight="1" x14ac:dyDescent="0.3">
      <c r="A47" s="17">
        <v>3</v>
      </c>
      <c r="B47" s="18">
        <v>14879452</v>
      </c>
      <c r="C47" s="18">
        <v>10545.9</v>
      </c>
      <c r="D47" s="19">
        <v>1.1000000000000001</v>
      </c>
      <c r="E47" s="19">
        <v>9.1999999999999993</v>
      </c>
    </row>
    <row r="48" spans="1:6" ht="16.5" customHeight="1" x14ac:dyDescent="0.3">
      <c r="A48" s="17">
        <v>4</v>
      </c>
      <c r="B48" s="18">
        <v>14911081</v>
      </c>
      <c r="C48" s="18">
        <v>10515.9</v>
      </c>
      <c r="D48" s="19">
        <v>1.1000000000000001</v>
      </c>
      <c r="E48" s="19">
        <v>9.1999999999999993</v>
      </c>
    </row>
    <row r="49" spans="1:7" ht="16.5" customHeight="1" x14ac:dyDescent="0.3">
      <c r="A49" s="17">
        <v>5</v>
      </c>
      <c r="B49" s="18">
        <v>14859970</v>
      </c>
      <c r="C49" s="18">
        <v>10503.2</v>
      </c>
      <c r="D49" s="19">
        <v>1.1000000000000001</v>
      </c>
      <c r="E49" s="19">
        <v>9.1999999999999993</v>
      </c>
    </row>
    <row r="50" spans="1:7" ht="16.5" customHeight="1" x14ac:dyDescent="0.3">
      <c r="A50" s="17">
        <v>6</v>
      </c>
      <c r="B50" s="21">
        <v>14892756</v>
      </c>
      <c r="C50" s="21">
        <v>10523.5</v>
      </c>
      <c r="D50" s="22">
        <v>1.1000000000000001</v>
      </c>
      <c r="E50" s="22">
        <v>9.1999999999999993</v>
      </c>
    </row>
    <row r="51" spans="1:7" ht="16.5" customHeight="1" x14ac:dyDescent="0.3">
      <c r="A51" s="23" t="s">
        <v>18</v>
      </c>
      <c r="B51" s="24">
        <f>AVERAGE(B45:B50)</f>
        <v>14911282.333333334</v>
      </c>
      <c r="C51" s="25">
        <f>AVERAGE(C45:C50)</f>
        <v>10533.35</v>
      </c>
      <c r="D51" s="26">
        <f>AVERAGE(D45:D50)</f>
        <v>1.0999999999999999</v>
      </c>
      <c r="E51" s="26">
        <f>AVERAGE(E45:E50)</f>
        <v>9.2000000000000011</v>
      </c>
    </row>
    <row r="52" spans="1:7" ht="16.5" customHeight="1" x14ac:dyDescent="0.3">
      <c r="A52" s="27" t="s">
        <v>19</v>
      </c>
      <c r="B52" s="28">
        <f>(STDEV(B45:B50)/B51)</f>
        <v>3.1244496792477449E-3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91" t="s">
        <v>26</v>
      </c>
      <c r="C59" s="29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136</v>
      </c>
      <c r="C60" s="48" t="s">
        <v>137</v>
      </c>
      <c r="E60" s="48"/>
      <c r="F60" s="2"/>
      <c r="G60" s="49"/>
    </row>
    <row r="61" spans="1:7" ht="30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0" workbookViewId="0">
      <selection activeCell="C36" sqref="C36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296" t="s">
        <v>31</v>
      </c>
      <c r="B11" s="297"/>
      <c r="C11" s="297"/>
      <c r="D11" s="297"/>
      <c r="E11" s="297"/>
      <c r="F11" s="298"/>
      <c r="G11" s="91"/>
    </row>
    <row r="12" spans="1:7" ht="16.5" customHeight="1" x14ac:dyDescent="0.3">
      <c r="A12" s="293" t="s">
        <v>32</v>
      </c>
      <c r="B12" s="293"/>
      <c r="C12" s="293"/>
      <c r="D12" s="293"/>
      <c r="E12" s="293"/>
      <c r="F12" s="293"/>
      <c r="G12" s="90"/>
    </row>
    <row r="14" spans="1:7" ht="16.5" customHeight="1" x14ac:dyDescent="0.3">
      <c r="A14" s="292" t="s">
        <v>33</v>
      </c>
      <c r="B14" s="292"/>
      <c r="C14" s="60" t="s">
        <v>5</v>
      </c>
    </row>
    <row r="15" spans="1:7" ht="16.5" customHeight="1" x14ac:dyDescent="0.3">
      <c r="A15" s="292" t="s">
        <v>34</v>
      </c>
      <c r="B15" s="292"/>
      <c r="C15" s="60" t="s">
        <v>7</v>
      </c>
    </row>
    <row r="16" spans="1:7" ht="16.5" customHeight="1" x14ac:dyDescent="0.3">
      <c r="A16" s="292" t="s">
        <v>35</v>
      </c>
      <c r="B16" s="292"/>
      <c r="C16" s="60" t="s">
        <v>9</v>
      </c>
    </row>
    <row r="17" spans="1:5" ht="16.5" customHeight="1" x14ac:dyDescent="0.3">
      <c r="A17" s="292" t="s">
        <v>36</v>
      </c>
      <c r="B17" s="292"/>
      <c r="C17" s="60" t="s">
        <v>11</v>
      </c>
    </row>
    <row r="18" spans="1:5" ht="16.5" customHeight="1" x14ac:dyDescent="0.3">
      <c r="A18" s="292" t="s">
        <v>37</v>
      </c>
      <c r="B18" s="292"/>
      <c r="C18" s="97" t="s">
        <v>12</v>
      </c>
    </row>
    <row r="19" spans="1:5" ht="16.5" customHeight="1" x14ac:dyDescent="0.3">
      <c r="A19" s="292" t="s">
        <v>38</v>
      </c>
      <c r="B19" s="29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3" t="s">
        <v>1</v>
      </c>
      <c r="B21" s="293"/>
      <c r="C21" s="59" t="s">
        <v>39</v>
      </c>
      <c r="D21" s="66"/>
    </row>
    <row r="22" spans="1:5" ht="15.75" customHeight="1" x14ac:dyDescent="0.3">
      <c r="A22" s="299"/>
      <c r="B22" s="299"/>
      <c r="C22" s="57"/>
      <c r="D22" s="299"/>
      <c r="E22" s="29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782.4</v>
      </c>
      <c r="D24" s="87">
        <f t="shared" ref="D24:D43" si="0">(C24-$C$46)/$C$46</f>
        <v>-1.7966912865273372E-2</v>
      </c>
      <c r="E24" s="53"/>
    </row>
    <row r="25" spans="1:5" ht="15.75" customHeight="1" x14ac:dyDescent="0.3">
      <c r="C25" s="95">
        <v>805.47</v>
      </c>
      <c r="D25" s="88">
        <f t="shared" si="0"/>
        <v>1.0989507533752947E-2</v>
      </c>
      <c r="E25" s="53"/>
    </row>
    <row r="26" spans="1:5" ht="15.75" customHeight="1" x14ac:dyDescent="0.3">
      <c r="C26" s="95">
        <v>795.33</v>
      </c>
      <c r="D26" s="88">
        <f t="shared" si="0"/>
        <v>-1.7377617703704096E-3</v>
      </c>
      <c r="E26" s="53"/>
    </row>
    <row r="27" spans="1:5" ht="15.75" customHeight="1" x14ac:dyDescent="0.3">
      <c r="C27" s="95">
        <v>799.58</v>
      </c>
      <c r="D27" s="88">
        <f t="shared" si="0"/>
        <v>3.5966459754406695E-3</v>
      </c>
      <c r="E27" s="53"/>
    </row>
    <row r="28" spans="1:5" ht="15.75" customHeight="1" x14ac:dyDescent="0.3">
      <c r="C28" s="95">
        <v>784.77</v>
      </c>
      <c r="D28" s="88">
        <f t="shared" si="0"/>
        <v>-1.4992196075256365E-2</v>
      </c>
      <c r="E28" s="53"/>
    </row>
    <row r="29" spans="1:5" ht="15.75" customHeight="1" x14ac:dyDescent="0.3">
      <c r="C29" s="95">
        <v>794.08</v>
      </c>
      <c r="D29" s="88">
        <f t="shared" si="0"/>
        <v>-3.3067052250207269E-3</v>
      </c>
      <c r="E29" s="53"/>
    </row>
    <row r="30" spans="1:5" ht="15.75" customHeight="1" x14ac:dyDescent="0.3">
      <c r="C30" s="95">
        <v>824.62</v>
      </c>
      <c r="D30" s="88">
        <f t="shared" si="0"/>
        <v>3.5025721258995779E-2</v>
      </c>
      <c r="E30" s="53"/>
    </row>
    <row r="31" spans="1:5" ht="15.75" customHeight="1" x14ac:dyDescent="0.3">
      <c r="C31" s="95">
        <v>787.74</v>
      </c>
      <c r="D31" s="88">
        <f t="shared" si="0"/>
        <v>-1.1264386427007177E-2</v>
      </c>
      <c r="E31" s="53"/>
    </row>
    <row r="32" spans="1:5" ht="15.75" customHeight="1" x14ac:dyDescent="0.3">
      <c r="C32" s="95">
        <v>796.79</v>
      </c>
      <c r="D32" s="88">
        <f t="shared" si="0"/>
        <v>9.4764184661064098E-5</v>
      </c>
      <c r="E32" s="53"/>
    </row>
    <row r="33" spans="1:7" ht="15.75" customHeight="1" x14ac:dyDescent="0.3">
      <c r="C33" s="95">
        <v>801.02</v>
      </c>
      <c r="D33" s="88">
        <f t="shared" si="0"/>
        <v>5.4040688351977614E-3</v>
      </c>
      <c r="E33" s="53"/>
    </row>
    <row r="34" spans="1:7" ht="15.75" customHeight="1" x14ac:dyDescent="0.3">
      <c r="C34" s="95">
        <v>794.5</v>
      </c>
      <c r="D34" s="88">
        <f t="shared" si="0"/>
        <v>-2.7795402242582717E-3</v>
      </c>
      <c r="E34" s="53"/>
    </row>
    <row r="35" spans="1:7" ht="15.75" customHeight="1" x14ac:dyDescent="0.3">
      <c r="C35" s="95">
        <v>797.21</v>
      </c>
      <c r="D35" s="88">
        <f t="shared" si="0"/>
        <v>6.2192918542366212E-4</v>
      </c>
      <c r="E35" s="53"/>
    </row>
    <row r="36" spans="1:7" ht="15.75" customHeight="1" x14ac:dyDescent="0.3">
      <c r="C36" s="95">
        <v>806.94</v>
      </c>
      <c r="D36" s="88">
        <f t="shared" si="0"/>
        <v>1.2834585036421755E-2</v>
      </c>
      <c r="E36" s="53"/>
    </row>
    <row r="37" spans="1:7" ht="15.75" customHeight="1" x14ac:dyDescent="0.3">
      <c r="C37" s="95">
        <v>796.59</v>
      </c>
      <c r="D37" s="88">
        <f t="shared" si="0"/>
        <v>-1.5626676808290106E-4</v>
      </c>
      <c r="E37" s="53"/>
    </row>
    <row r="38" spans="1:7" ht="15.75" customHeight="1" x14ac:dyDescent="0.3">
      <c r="C38" s="95">
        <v>796.73</v>
      </c>
      <c r="D38" s="88">
        <f t="shared" si="0"/>
        <v>1.9454898837917362E-5</v>
      </c>
      <c r="E38" s="53"/>
    </row>
    <row r="39" spans="1:7" ht="15.75" customHeight="1" x14ac:dyDescent="0.3">
      <c r="C39" s="95">
        <v>789.69</v>
      </c>
      <c r="D39" s="88">
        <f t="shared" si="0"/>
        <v>-8.8168346377526241E-3</v>
      </c>
      <c r="E39" s="53"/>
    </row>
    <row r="40" spans="1:7" ht="15.75" customHeight="1" x14ac:dyDescent="0.3">
      <c r="C40" s="95">
        <v>797.82</v>
      </c>
      <c r="D40" s="88">
        <f t="shared" si="0"/>
        <v>1.3875735912930341E-3</v>
      </c>
      <c r="E40" s="53"/>
    </row>
    <row r="41" spans="1:7" ht="15.75" customHeight="1" x14ac:dyDescent="0.3">
      <c r="C41" s="95">
        <v>792.47</v>
      </c>
      <c r="D41" s="88">
        <f t="shared" si="0"/>
        <v>-5.3275043946103525E-3</v>
      </c>
      <c r="E41" s="53"/>
    </row>
    <row r="42" spans="1:7" ht="15.75" customHeight="1" x14ac:dyDescent="0.3">
      <c r="C42" s="95">
        <v>800.47</v>
      </c>
      <c r="D42" s="88">
        <f t="shared" si="0"/>
        <v>4.7137337151516787E-3</v>
      </c>
      <c r="E42" s="53"/>
    </row>
    <row r="43" spans="1:7" ht="16.5" customHeight="1" x14ac:dyDescent="0.3">
      <c r="C43" s="96">
        <v>790.07</v>
      </c>
      <c r="D43" s="89">
        <f t="shared" si="0"/>
        <v>-8.3398758275389333E-3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15934.289999999997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796.71449999999982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4">
        <f>C46</f>
        <v>796.71449999999982</v>
      </c>
      <c r="C49" s="93">
        <f>-IF(C46&lt;=80,10%,IF(C46&lt;250,7.5%,5%))</f>
        <v>-0.05</v>
      </c>
      <c r="D49" s="81">
        <f>IF(C46&lt;=80,C46*0.9,IF(C46&lt;250,C46*0.925,C46*0.95))</f>
        <v>756.87877499999979</v>
      </c>
    </row>
    <row r="50" spans="1:6" ht="17.25" customHeight="1" x14ac:dyDescent="0.3">
      <c r="B50" s="295"/>
      <c r="C50" s="94">
        <f>IF(C46&lt;=80, 10%, IF(C46&lt;250, 7.5%, 5%))</f>
        <v>0.05</v>
      </c>
      <c r="D50" s="81">
        <f>IF(C46&lt;=80, C46*1.1, IF(C46&lt;250, C46*1.075, C46*1.05))</f>
        <v>836.55022499999984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  <mergeCell ref="B49:B50"/>
    <mergeCell ref="A12:F12"/>
  </mergeCells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8" zoomScale="60" zoomScaleNormal="40" zoomScalePageLayoutView="46" workbookViewId="0">
      <selection activeCell="D113" sqref="D113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9" ht="18.75" customHeight="1" x14ac:dyDescent="0.3">
      <c r="A1" s="300" t="s">
        <v>45</v>
      </c>
      <c r="B1" s="300"/>
      <c r="C1" s="300"/>
      <c r="D1" s="300"/>
      <c r="E1" s="300"/>
      <c r="F1" s="300"/>
      <c r="G1" s="300"/>
      <c r="H1" s="300"/>
      <c r="I1" s="300"/>
    </row>
    <row r="2" spans="1:9" ht="18.75" customHeight="1" x14ac:dyDescent="0.3">
      <c r="A2" s="300"/>
      <c r="B2" s="300"/>
      <c r="C2" s="300"/>
      <c r="D2" s="300"/>
      <c r="E2" s="300"/>
      <c r="F2" s="300"/>
      <c r="G2" s="300"/>
      <c r="H2" s="300"/>
      <c r="I2" s="300"/>
    </row>
    <row r="3" spans="1:9" ht="18.75" customHeight="1" x14ac:dyDescent="0.3">
      <c r="A3" s="300"/>
      <c r="B3" s="300"/>
      <c r="C3" s="300"/>
      <c r="D3" s="300"/>
      <c r="E3" s="300"/>
      <c r="F3" s="300"/>
      <c r="G3" s="300"/>
      <c r="H3" s="300"/>
      <c r="I3" s="300"/>
    </row>
    <row r="4" spans="1:9" ht="18.75" customHeight="1" x14ac:dyDescent="0.3">
      <c r="A4" s="300"/>
      <c r="B4" s="300"/>
      <c r="C4" s="300"/>
      <c r="D4" s="300"/>
      <c r="E4" s="300"/>
      <c r="F4" s="300"/>
      <c r="G4" s="300"/>
      <c r="H4" s="300"/>
      <c r="I4" s="300"/>
    </row>
    <row r="5" spans="1:9" ht="18.75" customHeight="1" x14ac:dyDescent="0.3">
      <c r="A5" s="300"/>
      <c r="B5" s="300"/>
      <c r="C5" s="300"/>
      <c r="D5" s="300"/>
      <c r="E5" s="300"/>
      <c r="F5" s="300"/>
      <c r="G5" s="300"/>
      <c r="H5" s="300"/>
      <c r="I5" s="300"/>
    </row>
    <row r="6" spans="1:9" ht="18.75" customHeight="1" x14ac:dyDescent="0.3">
      <c r="A6" s="300"/>
      <c r="B6" s="300"/>
      <c r="C6" s="300"/>
      <c r="D6" s="300"/>
      <c r="E6" s="300"/>
      <c r="F6" s="300"/>
      <c r="G6" s="300"/>
      <c r="H6" s="300"/>
      <c r="I6" s="300"/>
    </row>
    <row r="7" spans="1:9" ht="18.75" customHeight="1" x14ac:dyDescent="0.3">
      <c r="A7" s="300"/>
      <c r="B7" s="300"/>
      <c r="C7" s="300"/>
      <c r="D7" s="300"/>
      <c r="E7" s="300"/>
      <c r="F7" s="300"/>
      <c r="G7" s="300"/>
      <c r="H7" s="300"/>
      <c r="I7" s="300"/>
    </row>
    <row r="8" spans="1:9" x14ac:dyDescent="0.3">
      <c r="A8" s="301" t="s">
        <v>46</v>
      </c>
      <c r="B8" s="301"/>
      <c r="C8" s="301"/>
      <c r="D8" s="301"/>
      <c r="E8" s="301"/>
      <c r="F8" s="301"/>
      <c r="G8" s="301"/>
      <c r="H8" s="301"/>
      <c r="I8" s="301"/>
    </row>
    <row r="9" spans="1:9" x14ac:dyDescent="0.3">
      <c r="A9" s="301"/>
      <c r="B9" s="301"/>
      <c r="C9" s="301"/>
      <c r="D9" s="301"/>
      <c r="E9" s="301"/>
      <c r="F9" s="301"/>
      <c r="G9" s="301"/>
      <c r="H9" s="301"/>
      <c r="I9" s="301"/>
    </row>
    <row r="10" spans="1:9" x14ac:dyDescent="0.3">
      <c r="A10" s="301"/>
      <c r="B10" s="301"/>
      <c r="C10" s="301"/>
      <c r="D10" s="301"/>
      <c r="E10" s="301"/>
      <c r="F10" s="301"/>
      <c r="G10" s="301"/>
      <c r="H10" s="301"/>
      <c r="I10" s="301"/>
    </row>
    <row r="11" spans="1:9" x14ac:dyDescent="0.3">
      <c r="A11" s="301"/>
      <c r="B11" s="301"/>
      <c r="C11" s="301"/>
      <c r="D11" s="301"/>
      <c r="E11" s="301"/>
      <c r="F11" s="301"/>
      <c r="G11" s="301"/>
      <c r="H11" s="301"/>
      <c r="I11" s="301"/>
    </row>
    <row r="12" spans="1:9" x14ac:dyDescent="0.3">
      <c r="A12" s="301"/>
      <c r="B12" s="301"/>
      <c r="C12" s="301"/>
      <c r="D12" s="301"/>
      <c r="E12" s="301"/>
      <c r="F12" s="301"/>
      <c r="G12" s="301"/>
      <c r="H12" s="301"/>
      <c r="I12" s="301"/>
    </row>
    <row r="13" spans="1:9" x14ac:dyDescent="0.3">
      <c r="A13" s="301"/>
      <c r="B13" s="301"/>
      <c r="C13" s="301"/>
      <c r="D13" s="301"/>
      <c r="E13" s="301"/>
      <c r="F13" s="301"/>
      <c r="G13" s="301"/>
      <c r="H13" s="301"/>
      <c r="I13" s="301"/>
    </row>
    <row r="14" spans="1:9" x14ac:dyDescent="0.3">
      <c r="A14" s="301"/>
      <c r="B14" s="301"/>
      <c r="C14" s="301"/>
      <c r="D14" s="301"/>
      <c r="E14" s="301"/>
      <c r="F14" s="301"/>
      <c r="G14" s="301"/>
      <c r="H14" s="301"/>
      <c r="I14" s="301"/>
    </row>
    <row r="15" spans="1:9" ht="19.5" customHeight="1" x14ac:dyDescent="0.35">
      <c r="A15" s="98"/>
    </row>
    <row r="16" spans="1:9" ht="19.5" customHeight="1" x14ac:dyDescent="0.35">
      <c r="A16" s="332" t="s">
        <v>31</v>
      </c>
      <c r="B16" s="333"/>
      <c r="C16" s="333"/>
      <c r="D16" s="333"/>
      <c r="E16" s="333"/>
      <c r="F16" s="333"/>
      <c r="G16" s="333"/>
      <c r="H16" s="334"/>
    </row>
    <row r="17" spans="1:14" ht="20.25" customHeight="1" x14ac:dyDescent="0.3">
      <c r="A17" s="335" t="s">
        <v>47</v>
      </c>
      <c r="B17" s="335"/>
      <c r="C17" s="335"/>
      <c r="D17" s="335"/>
      <c r="E17" s="335"/>
      <c r="F17" s="335"/>
      <c r="G17" s="335"/>
      <c r="H17" s="335"/>
    </row>
    <row r="18" spans="1:14" ht="26.25" customHeight="1" x14ac:dyDescent="0.5">
      <c r="A18" s="100" t="s">
        <v>33</v>
      </c>
      <c r="B18" s="331" t="s">
        <v>138</v>
      </c>
      <c r="C18" s="331"/>
      <c r="D18" s="244"/>
      <c r="E18" s="101"/>
      <c r="F18" s="102"/>
      <c r="G18" s="102"/>
      <c r="H18" s="102"/>
    </row>
    <row r="19" spans="1:14" ht="26.25" customHeight="1" x14ac:dyDescent="0.5">
      <c r="A19" s="100" t="s">
        <v>34</v>
      </c>
      <c r="B19" s="103" t="s">
        <v>7</v>
      </c>
      <c r="C19" s="253">
        <v>1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35</v>
      </c>
      <c r="B20" s="336" t="s">
        <v>9</v>
      </c>
      <c r="C20" s="336"/>
      <c r="D20" s="102"/>
      <c r="E20" s="102"/>
      <c r="F20" s="102"/>
      <c r="G20" s="102"/>
      <c r="H20" s="102"/>
    </row>
    <row r="21" spans="1:14" ht="26.25" customHeight="1" x14ac:dyDescent="0.5">
      <c r="A21" s="100" t="s">
        <v>36</v>
      </c>
      <c r="B21" s="336" t="s">
        <v>11</v>
      </c>
      <c r="C21" s="336"/>
      <c r="D21" s="336"/>
      <c r="E21" s="336"/>
      <c r="F21" s="336"/>
      <c r="G21" s="336"/>
      <c r="H21" s="336"/>
      <c r="I21" s="104"/>
    </row>
    <row r="22" spans="1:14" ht="26.25" customHeight="1" x14ac:dyDescent="0.5">
      <c r="A22" s="100" t="s">
        <v>37</v>
      </c>
      <c r="B22" s="284" t="s">
        <v>133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38</v>
      </c>
      <c r="B23" s="284" t="s">
        <v>132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5"/>
    </row>
    <row r="25" spans="1:14" ht="18" x14ac:dyDescent="0.35">
      <c r="A25" s="106" t="s">
        <v>1</v>
      </c>
      <c r="B25" s="105"/>
    </row>
    <row r="26" spans="1:14" ht="26.25" customHeight="1" x14ac:dyDescent="0.45">
      <c r="A26" s="107" t="s">
        <v>4</v>
      </c>
      <c r="B26" s="331" t="s">
        <v>134</v>
      </c>
      <c r="C26" s="331"/>
    </row>
    <row r="27" spans="1:14" ht="26.25" customHeight="1" x14ac:dyDescent="0.5">
      <c r="A27" s="108" t="s">
        <v>48</v>
      </c>
      <c r="B27" s="329" t="s">
        <v>135</v>
      </c>
      <c r="C27" s="329"/>
    </row>
    <row r="28" spans="1:14" ht="27" customHeight="1" x14ac:dyDescent="0.45">
      <c r="A28" s="108" t="s">
        <v>6</v>
      </c>
      <c r="B28" s="109">
        <v>99.7</v>
      </c>
    </row>
    <row r="29" spans="1:14" s="14" customFormat="1" ht="27" customHeight="1" x14ac:dyDescent="0.5">
      <c r="A29" s="108" t="s">
        <v>49</v>
      </c>
      <c r="B29" s="110">
        <v>0</v>
      </c>
      <c r="C29" s="308" t="s">
        <v>50</v>
      </c>
      <c r="D29" s="309"/>
      <c r="E29" s="309"/>
      <c r="F29" s="309"/>
      <c r="G29" s="310"/>
      <c r="I29" s="111"/>
      <c r="J29" s="111"/>
      <c r="K29" s="111"/>
      <c r="L29" s="111"/>
    </row>
    <row r="30" spans="1:14" s="14" customFormat="1" ht="19.5" customHeight="1" x14ac:dyDescent="0.35">
      <c r="A30" s="108" t="s">
        <v>51</v>
      </c>
      <c r="B30" s="112">
        <f>B28-B29</f>
        <v>99.7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5">
      <c r="A31" s="108" t="s">
        <v>52</v>
      </c>
      <c r="B31" s="115">
        <v>1</v>
      </c>
      <c r="C31" s="311" t="s">
        <v>53</v>
      </c>
      <c r="D31" s="312"/>
      <c r="E31" s="312"/>
      <c r="F31" s="312"/>
      <c r="G31" s="312"/>
      <c r="H31" s="313"/>
      <c r="I31" s="111"/>
      <c r="J31" s="111"/>
      <c r="K31" s="111"/>
      <c r="L31" s="111"/>
    </row>
    <row r="32" spans="1:14" s="14" customFormat="1" ht="27" customHeight="1" x14ac:dyDescent="0.45">
      <c r="A32" s="108" t="s">
        <v>54</v>
      </c>
      <c r="B32" s="115">
        <v>1</v>
      </c>
      <c r="C32" s="311" t="s">
        <v>55</v>
      </c>
      <c r="D32" s="312"/>
      <c r="E32" s="312"/>
      <c r="F32" s="312"/>
      <c r="G32" s="312"/>
      <c r="H32" s="313"/>
      <c r="I32" s="111"/>
      <c r="J32" s="111"/>
      <c r="K32" s="111"/>
      <c r="L32" s="116"/>
      <c r="M32" s="116"/>
      <c r="N32" s="117"/>
    </row>
    <row r="33" spans="1:14" s="14" customFormat="1" ht="17.25" customHeight="1" x14ac:dyDescent="0.35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" x14ac:dyDescent="0.35">
      <c r="A34" s="108" t="s">
        <v>56</v>
      </c>
      <c r="B34" s="120">
        <f>B31/B32</f>
        <v>1</v>
      </c>
      <c r="C34" s="99" t="s">
        <v>57</v>
      </c>
      <c r="D34" s="99"/>
      <c r="E34" s="99"/>
      <c r="F34" s="99"/>
      <c r="G34" s="99"/>
      <c r="I34" s="111"/>
      <c r="J34" s="111"/>
      <c r="K34" s="111"/>
      <c r="L34" s="116"/>
      <c r="M34" s="116"/>
      <c r="N34" s="117"/>
    </row>
    <row r="35" spans="1:14" s="14" customFormat="1" ht="19.5" customHeight="1" x14ac:dyDescent="0.35">
      <c r="A35" s="108"/>
      <c r="B35" s="112"/>
      <c r="G35" s="99"/>
      <c r="I35" s="111"/>
      <c r="J35" s="111"/>
      <c r="K35" s="111"/>
      <c r="L35" s="116"/>
      <c r="M35" s="116"/>
      <c r="N35" s="117"/>
    </row>
    <row r="36" spans="1:14" s="14" customFormat="1" ht="27" customHeight="1" x14ac:dyDescent="0.45">
      <c r="A36" s="121" t="s">
        <v>58</v>
      </c>
      <c r="B36" s="285">
        <v>100</v>
      </c>
      <c r="C36" s="99"/>
      <c r="D36" s="314" t="s">
        <v>59</v>
      </c>
      <c r="E36" s="337"/>
      <c r="F36" s="314" t="s">
        <v>60</v>
      </c>
      <c r="G36" s="315"/>
      <c r="J36" s="111"/>
      <c r="K36" s="111"/>
      <c r="L36" s="116"/>
      <c r="M36" s="116"/>
      <c r="N36" s="117"/>
    </row>
    <row r="37" spans="1:14" s="14" customFormat="1" ht="27" customHeight="1" x14ac:dyDescent="0.45">
      <c r="A37" s="123" t="s">
        <v>61</v>
      </c>
      <c r="B37" s="286">
        <v>2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5">
      <c r="A38" s="123" t="s">
        <v>66</v>
      </c>
      <c r="B38" s="286">
        <v>20</v>
      </c>
      <c r="C38" s="130">
        <v>1</v>
      </c>
      <c r="D38" s="287">
        <v>22517040</v>
      </c>
      <c r="E38" s="131">
        <f>IF(ISBLANK(D38),"-",$D$48/$D$45*D38)</f>
        <v>22272972.764447186</v>
      </c>
      <c r="F38" s="287">
        <v>22656630</v>
      </c>
      <c r="G38" s="132">
        <f>IF(ISBLANK(F38),"-",$D$48/$F$45*F38)</f>
        <v>22733897.972428694</v>
      </c>
      <c r="I38" s="133"/>
      <c r="J38" s="111"/>
      <c r="K38" s="111"/>
      <c r="L38" s="116"/>
      <c r="M38" s="116"/>
      <c r="N38" s="117"/>
    </row>
    <row r="39" spans="1:14" s="14" customFormat="1" ht="26.25" customHeight="1" x14ac:dyDescent="0.45">
      <c r="A39" s="123" t="s">
        <v>67</v>
      </c>
      <c r="B39" s="124">
        <v>1</v>
      </c>
      <c r="C39" s="134">
        <v>2</v>
      </c>
      <c r="D39" s="288">
        <v>22625148</v>
      </c>
      <c r="E39" s="136">
        <f>IF(ISBLANK(D39),"-",$D$48/$D$45*D39)</f>
        <v>22379908.957642157</v>
      </c>
      <c r="F39" s="288">
        <v>22730686</v>
      </c>
      <c r="G39" s="137">
        <f>IF(ISBLANK(F39),"-",$D$48/$F$45*F39)</f>
        <v>22808206.532362197</v>
      </c>
      <c r="I39" s="316">
        <f>ABS((F43/D43*D42)-F42)/D42</f>
        <v>1.940379822697133E-2</v>
      </c>
      <c r="J39" s="111"/>
      <c r="K39" s="111"/>
      <c r="L39" s="116"/>
      <c r="M39" s="116"/>
      <c r="N39" s="117"/>
    </row>
    <row r="40" spans="1:14" ht="26.25" customHeight="1" x14ac:dyDescent="0.45">
      <c r="A40" s="123" t="s">
        <v>68</v>
      </c>
      <c r="B40" s="124">
        <v>1</v>
      </c>
      <c r="C40" s="134">
        <v>3</v>
      </c>
      <c r="D40" s="288">
        <v>22616240</v>
      </c>
      <c r="E40" s="136">
        <f>IF(ISBLANK(D40),"-",$D$48/$D$45*D40)</f>
        <v>22371097.513447639</v>
      </c>
      <c r="F40" s="288">
        <v>22723633</v>
      </c>
      <c r="G40" s="137">
        <f>IF(ISBLANK(F40),"-",$D$48/$F$45*F40)</f>
        <v>22801129.478872798</v>
      </c>
      <c r="I40" s="316"/>
      <c r="L40" s="116"/>
      <c r="M40" s="116"/>
      <c r="N40" s="138"/>
    </row>
    <row r="41" spans="1:14" ht="27" customHeight="1" x14ac:dyDescent="0.45">
      <c r="A41" s="123" t="s">
        <v>69</v>
      </c>
      <c r="B41" s="124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6"/>
      <c r="M41" s="116"/>
      <c r="N41" s="138"/>
    </row>
    <row r="42" spans="1:14" ht="27" customHeight="1" x14ac:dyDescent="0.45">
      <c r="A42" s="123" t="s">
        <v>70</v>
      </c>
      <c r="B42" s="124">
        <v>1</v>
      </c>
      <c r="C42" s="144" t="s">
        <v>71</v>
      </c>
      <c r="D42" s="145">
        <f>AVERAGE(D38:D41)</f>
        <v>22586142.666666668</v>
      </c>
      <c r="E42" s="146">
        <f>AVERAGE(E38:E41)</f>
        <v>22341326.411845658</v>
      </c>
      <c r="F42" s="145">
        <f>AVERAGE(F38:F41)</f>
        <v>22703649.666666668</v>
      </c>
      <c r="G42" s="147">
        <f>AVERAGE(G38:G41)</f>
        <v>22781077.994554561</v>
      </c>
      <c r="H42" s="148"/>
    </row>
    <row r="43" spans="1:14" ht="26.25" customHeight="1" x14ac:dyDescent="0.45">
      <c r="A43" s="123" t="s">
        <v>72</v>
      </c>
      <c r="B43" s="124">
        <v>1</v>
      </c>
      <c r="C43" s="149" t="s">
        <v>73</v>
      </c>
      <c r="D43" s="150">
        <v>25.35</v>
      </c>
      <c r="E43" s="138"/>
      <c r="F43" s="150">
        <v>24.99</v>
      </c>
      <c r="H43" s="148"/>
    </row>
    <row r="44" spans="1:14" ht="26.25" customHeight="1" x14ac:dyDescent="0.45">
      <c r="A44" s="123" t="s">
        <v>74</v>
      </c>
      <c r="B44" s="124">
        <v>1</v>
      </c>
      <c r="C44" s="151" t="s">
        <v>75</v>
      </c>
      <c r="D44" s="152">
        <f>D43*$B$34</f>
        <v>25.35</v>
      </c>
      <c r="E44" s="153"/>
      <c r="F44" s="152">
        <f>F43*$B$34</f>
        <v>24.99</v>
      </c>
      <c r="H44" s="148"/>
    </row>
    <row r="45" spans="1:14" ht="19.5" customHeight="1" x14ac:dyDescent="0.35">
      <c r="A45" s="123" t="s">
        <v>76</v>
      </c>
      <c r="B45" s="154">
        <f>(B44/B43)*(B42/B41)*(B40/B39)*(B38/B37)*B36</f>
        <v>1000</v>
      </c>
      <c r="C45" s="151" t="s">
        <v>77</v>
      </c>
      <c r="D45" s="155">
        <f>D44*$B$30/100</f>
        <v>25.273950000000003</v>
      </c>
      <c r="E45" s="156"/>
      <c r="F45" s="155">
        <f>F44*$B$30/100</f>
        <v>24.915029999999998</v>
      </c>
      <c r="H45" s="148"/>
    </row>
    <row r="46" spans="1:14" ht="19.5" customHeight="1" x14ac:dyDescent="0.35">
      <c r="A46" s="302" t="s">
        <v>78</v>
      </c>
      <c r="B46" s="303"/>
      <c r="C46" s="151" t="s">
        <v>79</v>
      </c>
      <c r="D46" s="157">
        <f>D45/$B$45</f>
        <v>2.5273950000000003E-2</v>
      </c>
      <c r="E46" s="158"/>
      <c r="F46" s="159">
        <f>F45/$B$45</f>
        <v>2.4915029999999998E-2</v>
      </c>
      <c r="H46" s="148"/>
    </row>
    <row r="47" spans="1:14" ht="27" customHeight="1" x14ac:dyDescent="0.45">
      <c r="A47" s="304"/>
      <c r="B47" s="305"/>
      <c r="C47" s="160" t="s">
        <v>80</v>
      </c>
      <c r="D47" s="161">
        <v>2.5000000000000001E-2</v>
      </c>
      <c r="E47" s="162"/>
      <c r="F47" s="158"/>
      <c r="H47" s="148"/>
    </row>
    <row r="48" spans="1:14" ht="18" x14ac:dyDescent="0.35">
      <c r="C48" s="163" t="s">
        <v>81</v>
      </c>
      <c r="D48" s="155">
        <f>D47*$B$45</f>
        <v>25</v>
      </c>
      <c r="F48" s="164"/>
      <c r="H48" s="148"/>
    </row>
    <row r="49" spans="1:12" ht="19.5" customHeight="1" x14ac:dyDescent="0.35">
      <c r="C49" s="165" t="s">
        <v>82</v>
      </c>
      <c r="D49" s="166">
        <f>D48/B34</f>
        <v>25</v>
      </c>
      <c r="F49" s="164"/>
      <c r="H49" s="148"/>
    </row>
    <row r="50" spans="1:12" ht="18" x14ac:dyDescent="0.35">
      <c r="C50" s="121" t="s">
        <v>83</v>
      </c>
      <c r="D50" s="167">
        <f>AVERAGE(E38:E41,G38:G41)</f>
        <v>22561202.203200113</v>
      </c>
      <c r="F50" s="168"/>
      <c r="H50" s="148"/>
    </row>
    <row r="51" spans="1:12" ht="18" x14ac:dyDescent="0.35">
      <c r="C51" s="123" t="s">
        <v>84</v>
      </c>
      <c r="D51" s="169">
        <f>STDEV(E38:E41,G38:G41)/D50</f>
        <v>1.0865830749515379E-2</v>
      </c>
      <c r="F51" s="168"/>
      <c r="H51" s="148"/>
    </row>
    <row r="52" spans="1:12" ht="19.5" customHeight="1" x14ac:dyDescent="0.35">
      <c r="C52" s="170" t="s">
        <v>20</v>
      </c>
      <c r="D52" s="171">
        <f>COUNT(E38:E41,G38:G41)</f>
        <v>6</v>
      </c>
      <c r="F52" s="168"/>
    </row>
    <row r="54" spans="1:12" ht="18" x14ac:dyDescent="0.35">
      <c r="A54" s="172" t="s">
        <v>1</v>
      </c>
      <c r="B54" s="173" t="s">
        <v>85</v>
      </c>
    </row>
    <row r="55" spans="1:12" ht="18" x14ac:dyDescent="0.35">
      <c r="A55" s="99" t="s">
        <v>86</v>
      </c>
      <c r="B55" s="174" t="str">
        <f>B21</f>
        <v>Each tablet contains: 200 mg of Nevirapine USP.</v>
      </c>
    </row>
    <row r="56" spans="1:12" ht="26.25" customHeight="1" x14ac:dyDescent="0.45">
      <c r="A56" s="175" t="s">
        <v>87</v>
      </c>
      <c r="B56" s="176">
        <v>200</v>
      </c>
      <c r="C56" s="99" t="str">
        <f>B20</f>
        <v>Nevirapine USP</v>
      </c>
      <c r="H56" s="177"/>
    </row>
    <row r="57" spans="1:12" ht="18" x14ac:dyDescent="0.35">
      <c r="A57" s="174" t="s">
        <v>88</v>
      </c>
      <c r="B57" s="245">
        <f>Uniformity!C46</f>
        <v>796.71449999999982</v>
      </c>
      <c r="H57" s="177"/>
    </row>
    <row r="58" spans="1:12" ht="19.5" customHeight="1" x14ac:dyDescent="0.35">
      <c r="H58" s="177"/>
    </row>
    <row r="59" spans="1:12" s="14" customFormat="1" ht="27" customHeight="1" x14ac:dyDescent="0.45">
      <c r="A59" s="121" t="s">
        <v>89</v>
      </c>
      <c r="B59" s="285">
        <v>100</v>
      </c>
      <c r="C59" s="99"/>
      <c r="D59" s="178" t="s">
        <v>90</v>
      </c>
      <c r="E59" s="179" t="s">
        <v>62</v>
      </c>
      <c r="F59" s="179" t="s">
        <v>63</v>
      </c>
      <c r="G59" s="179" t="s">
        <v>91</v>
      </c>
      <c r="H59" s="125" t="s">
        <v>92</v>
      </c>
      <c r="L59" s="111"/>
    </row>
    <row r="60" spans="1:12" s="14" customFormat="1" ht="26.25" customHeight="1" x14ac:dyDescent="0.45">
      <c r="A60" s="123" t="s">
        <v>93</v>
      </c>
      <c r="B60" s="286">
        <v>5</v>
      </c>
      <c r="C60" s="319" t="s">
        <v>94</v>
      </c>
      <c r="D60" s="322">
        <v>199.25</v>
      </c>
      <c r="E60" s="180">
        <v>1</v>
      </c>
      <c r="F60" s="181">
        <v>22284607</v>
      </c>
      <c r="G60" s="246">
        <f>IF(ISBLANK(F60),"-",(F60/$D$50*$D$47*$B$68)*($B$57/$D$60))</f>
        <v>197.47728019908379</v>
      </c>
      <c r="H60" s="264">
        <f t="shared" ref="H60:H71" si="0">IF(ISBLANK(F60),"-",(G60/$B$56)*100)</f>
        <v>98.738640099541897</v>
      </c>
      <c r="L60" s="111"/>
    </row>
    <row r="61" spans="1:12" s="14" customFormat="1" ht="26.25" customHeight="1" x14ac:dyDescent="0.45">
      <c r="A61" s="123" t="s">
        <v>95</v>
      </c>
      <c r="B61" s="286">
        <v>100</v>
      </c>
      <c r="C61" s="320"/>
      <c r="D61" s="323"/>
      <c r="E61" s="182">
        <v>2</v>
      </c>
      <c r="F61" s="135">
        <v>22356303</v>
      </c>
      <c r="G61" s="247">
        <f>IF(ISBLANK(F61),"-",(F61/$D$50*$D$47*$B$68)*($B$57/$D$60))</f>
        <v>198.1126214945867</v>
      </c>
      <c r="H61" s="265">
        <f t="shared" si="0"/>
        <v>99.056310747293352</v>
      </c>
      <c r="L61" s="111"/>
    </row>
    <row r="62" spans="1:12" s="14" customFormat="1" ht="26.25" customHeight="1" x14ac:dyDescent="0.45">
      <c r="A62" s="123" t="s">
        <v>96</v>
      </c>
      <c r="B62" s="124">
        <v>1</v>
      </c>
      <c r="C62" s="320"/>
      <c r="D62" s="323"/>
      <c r="E62" s="182">
        <v>3</v>
      </c>
      <c r="F62" s="183">
        <v>22442651</v>
      </c>
      <c r="G62" s="247">
        <f>IF(ISBLANK(F62),"-",(F62/$D$50*$D$47*$B$68)*($B$57/$D$60))</f>
        <v>198.87780295776577</v>
      </c>
      <c r="H62" s="265">
        <f t="shared" si="0"/>
        <v>99.438901478882883</v>
      </c>
      <c r="L62" s="111"/>
    </row>
    <row r="63" spans="1:12" ht="27" customHeight="1" x14ac:dyDescent="0.45">
      <c r="A63" s="123" t="s">
        <v>97</v>
      </c>
      <c r="B63" s="124">
        <v>1</v>
      </c>
      <c r="C63" s="330"/>
      <c r="D63" s="324"/>
      <c r="E63" s="184">
        <v>4</v>
      </c>
      <c r="F63" s="185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5">
      <c r="A64" s="123" t="s">
        <v>98</v>
      </c>
      <c r="B64" s="124">
        <v>1</v>
      </c>
      <c r="C64" s="319" t="s">
        <v>99</v>
      </c>
      <c r="D64" s="322">
        <v>202.61</v>
      </c>
      <c r="E64" s="180">
        <v>1</v>
      </c>
      <c r="F64" s="181">
        <v>22637181</v>
      </c>
      <c r="G64" s="246">
        <f>IF(ISBLANK(F64),"-",(F64/$D$50*$D$47*$B$68)*($B$57/$D$64))</f>
        <v>197.27495570549297</v>
      </c>
      <c r="H64" s="264">
        <f t="shared" si="0"/>
        <v>98.637477852746485</v>
      </c>
    </row>
    <row r="65" spans="1:8" ht="26.25" customHeight="1" x14ac:dyDescent="0.45">
      <c r="A65" s="123" t="s">
        <v>100</v>
      </c>
      <c r="B65" s="124">
        <v>1</v>
      </c>
      <c r="C65" s="320"/>
      <c r="D65" s="323"/>
      <c r="E65" s="182">
        <v>2</v>
      </c>
      <c r="F65" s="135">
        <v>22603968</v>
      </c>
      <c r="G65" s="247">
        <f>IF(ISBLANK(F65),"-",(F65/$D$50*$D$47*$B$68)*($B$57/$D$64))</f>
        <v>196.98551626054413</v>
      </c>
      <c r="H65" s="265">
        <f t="shared" si="0"/>
        <v>98.492758130272065</v>
      </c>
    </row>
    <row r="66" spans="1:8" ht="26.25" customHeight="1" x14ac:dyDescent="0.45">
      <c r="A66" s="123" t="s">
        <v>101</v>
      </c>
      <c r="B66" s="124">
        <v>1</v>
      </c>
      <c r="C66" s="320"/>
      <c r="D66" s="323"/>
      <c r="E66" s="182">
        <v>3</v>
      </c>
      <c r="F66" s="135">
        <v>22359264</v>
      </c>
      <c r="G66" s="247">
        <f>IF(ISBLANK(F66),"-",(F66/$D$50*$D$47*$B$68)*($B$57/$D$64))</f>
        <v>194.85300820837293</v>
      </c>
      <c r="H66" s="265">
        <f t="shared" si="0"/>
        <v>97.426504104186463</v>
      </c>
    </row>
    <row r="67" spans="1:8" ht="27" customHeight="1" x14ac:dyDescent="0.45">
      <c r="A67" s="123" t="s">
        <v>102</v>
      </c>
      <c r="B67" s="124">
        <v>1</v>
      </c>
      <c r="C67" s="330"/>
      <c r="D67" s="324"/>
      <c r="E67" s="184">
        <v>4</v>
      </c>
      <c r="F67" s="185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5">
      <c r="A68" s="123" t="s">
        <v>103</v>
      </c>
      <c r="B68" s="186">
        <f>(B67/B66)*(B65/B64)*(B63/B62)*(B61/B60)*B59</f>
        <v>2000</v>
      </c>
      <c r="C68" s="319" t="s">
        <v>104</v>
      </c>
      <c r="D68" s="322">
        <v>198.95</v>
      </c>
      <c r="E68" s="180">
        <v>1</v>
      </c>
      <c r="F68" s="181">
        <v>22352939</v>
      </c>
      <c r="G68" s="246">
        <f>IF(ISBLANK(F68),"-",(F68/$D$50*$D$47*$B$68)*($B$57/$D$68))</f>
        <v>198.38150342261088</v>
      </c>
      <c r="H68" s="265">
        <f t="shared" si="0"/>
        <v>99.190751711305438</v>
      </c>
    </row>
    <row r="69" spans="1:8" ht="27" customHeight="1" x14ac:dyDescent="0.5">
      <c r="A69" s="170" t="s">
        <v>105</v>
      </c>
      <c r="B69" s="187">
        <f>(D47*B68)/B56*B57</f>
        <v>199.17862499999995</v>
      </c>
      <c r="C69" s="320"/>
      <c r="D69" s="323"/>
      <c r="E69" s="182">
        <v>2</v>
      </c>
      <c r="F69" s="135">
        <v>22415210</v>
      </c>
      <c r="G69" s="247">
        <f>IF(ISBLANK(F69),"-",(F69/$D$50*$D$47*$B$68)*($B$57/$D$68))</f>
        <v>198.9341562348263</v>
      </c>
      <c r="H69" s="265">
        <f t="shared" si="0"/>
        <v>99.467078117413152</v>
      </c>
    </row>
    <row r="70" spans="1:8" ht="26.25" customHeight="1" x14ac:dyDescent="0.45">
      <c r="A70" s="325" t="s">
        <v>78</v>
      </c>
      <c r="B70" s="326"/>
      <c r="C70" s="320"/>
      <c r="D70" s="323"/>
      <c r="E70" s="182">
        <v>3</v>
      </c>
      <c r="F70" s="135">
        <v>22628248</v>
      </c>
      <c r="G70" s="247">
        <f>IF(ISBLANK(F70),"-",(F70/$D$50*$D$47*$B$68)*($B$57/$D$68))</f>
        <v>200.82486057245933</v>
      </c>
      <c r="H70" s="265">
        <f t="shared" si="0"/>
        <v>100.41243028622966</v>
      </c>
    </row>
    <row r="71" spans="1:8" ht="27" customHeight="1" x14ac:dyDescent="0.45">
      <c r="A71" s="327"/>
      <c r="B71" s="328"/>
      <c r="C71" s="321"/>
      <c r="D71" s="324"/>
      <c r="E71" s="184">
        <v>4</v>
      </c>
      <c r="F71" s="185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188"/>
      <c r="B72" s="188"/>
      <c r="C72" s="188"/>
      <c r="D72" s="188"/>
      <c r="E72" s="188"/>
      <c r="F72" s="190" t="s">
        <v>71</v>
      </c>
      <c r="G72" s="252">
        <f>AVERAGE(G60:G71)</f>
        <v>197.96907833952699</v>
      </c>
      <c r="H72" s="267">
        <f>AVERAGE(H60:H71)</f>
        <v>98.984539169763494</v>
      </c>
    </row>
    <row r="73" spans="1:8" ht="26.25" customHeight="1" x14ac:dyDescent="0.45">
      <c r="C73" s="188"/>
      <c r="D73" s="188"/>
      <c r="E73" s="188"/>
      <c r="F73" s="191" t="s">
        <v>84</v>
      </c>
      <c r="G73" s="251">
        <f>STDEV(G60:G71)/G72</f>
        <v>8.2817165428896271E-3</v>
      </c>
      <c r="H73" s="251">
        <f>STDEV(H60:H71)/H72</f>
        <v>8.2817165428896271E-3</v>
      </c>
    </row>
    <row r="74" spans="1:8" ht="27" customHeight="1" x14ac:dyDescent="0.45">
      <c r="A74" s="188"/>
      <c r="B74" s="188"/>
      <c r="C74" s="189"/>
      <c r="D74" s="189"/>
      <c r="E74" s="192"/>
      <c r="F74" s="193" t="s">
        <v>20</v>
      </c>
      <c r="G74" s="194">
        <f>COUNT(G60:G71)</f>
        <v>9</v>
      </c>
      <c r="H74" s="194">
        <f>COUNT(H60:H71)</f>
        <v>9</v>
      </c>
    </row>
    <row r="76" spans="1:8" ht="26.25" customHeight="1" x14ac:dyDescent="0.45">
      <c r="A76" s="107" t="s">
        <v>106</v>
      </c>
      <c r="B76" s="195" t="s">
        <v>107</v>
      </c>
      <c r="C76" s="306" t="str">
        <f>B26</f>
        <v>Nevirapine</v>
      </c>
      <c r="D76" s="306"/>
      <c r="E76" s="196" t="s">
        <v>108</v>
      </c>
      <c r="F76" s="196"/>
      <c r="G76" s="283">
        <f>H72</f>
        <v>98.984539169763494</v>
      </c>
      <c r="H76" s="198"/>
    </row>
    <row r="77" spans="1:8" ht="18" x14ac:dyDescent="0.35">
      <c r="A77" s="106" t="s">
        <v>109</v>
      </c>
      <c r="B77" s="106" t="s">
        <v>110</v>
      </c>
    </row>
    <row r="78" spans="1:8" ht="18" x14ac:dyDescent="0.35">
      <c r="A78" s="106"/>
      <c r="B78" s="106"/>
    </row>
    <row r="79" spans="1:8" ht="26.25" customHeight="1" x14ac:dyDescent="0.45">
      <c r="A79" s="107" t="s">
        <v>4</v>
      </c>
      <c r="B79" s="338" t="str">
        <f>B26</f>
        <v>Nevirapine</v>
      </c>
      <c r="C79" s="338"/>
    </row>
    <row r="80" spans="1:8" ht="26.25" customHeight="1" x14ac:dyDescent="0.45">
      <c r="A80" s="108" t="s">
        <v>48</v>
      </c>
      <c r="B80" s="338" t="str">
        <f>B27</f>
        <v>N1-6</v>
      </c>
      <c r="C80" s="338"/>
    </row>
    <row r="81" spans="1:12" ht="27" customHeight="1" x14ac:dyDescent="0.45">
      <c r="A81" s="108" t="s">
        <v>6</v>
      </c>
      <c r="B81" s="199">
        <f>B28</f>
        <v>99.7</v>
      </c>
    </row>
    <row r="82" spans="1:12" s="14" customFormat="1" ht="27" customHeight="1" x14ac:dyDescent="0.5">
      <c r="A82" s="108" t="s">
        <v>49</v>
      </c>
      <c r="B82" s="110">
        <v>0</v>
      </c>
      <c r="C82" s="308" t="s">
        <v>50</v>
      </c>
      <c r="D82" s="309"/>
      <c r="E82" s="309"/>
      <c r="F82" s="309"/>
      <c r="G82" s="310"/>
      <c r="I82" s="111"/>
      <c r="J82" s="111"/>
      <c r="K82" s="111"/>
      <c r="L82" s="111"/>
    </row>
    <row r="83" spans="1:12" s="14" customFormat="1" ht="19.5" customHeight="1" x14ac:dyDescent="0.35">
      <c r="A83" s="108" t="s">
        <v>51</v>
      </c>
      <c r="B83" s="112">
        <f>B81-B82</f>
        <v>99.7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5">
      <c r="A84" s="108" t="s">
        <v>52</v>
      </c>
      <c r="B84" s="115">
        <v>1</v>
      </c>
      <c r="C84" s="311" t="s">
        <v>111</v>
      </c>
      <c r="D84" s="312"/>
      <c r="E84" s="312"/>
      <c r="F84" s="312"/>
      <c r="G84" s="312"/>
      <c r="H84" s="313"/>
      <c r="I84" s="111"/>
      <c r="J84" s="111"/>
      <c r="K84" s="111"/>
      <c r="L84" s="111"/>
    </row>
    <row r="85" spans="1:12" s="14" customFormat="1" ht="27" customHeight="1" x14ac:dyDescent="0.45">
      <c r="A85" s="108" t="s">
        <v>54</v>
      </c>
      <c r="B85" s="115">
        <v>1</v>
      </c>
      <c r="C85" s="311" t="s">
        <v>112</v>
      </c>
      <c r="D85" s="312"/>
      <c r="E85" s="312"/>
      <c r="F85" s="312"/>
      <c r="G85" s="312"/>
      <c r="H85" s="313"/>
      <c r="I85" s="111"/>
      <c r="J85" s="111"/>
      <c r="K85" s="111"/>
      <c r="L85" s="111"/>
    </row>
    <row r="86" spans="1:12" s="14" customFormat="1" ht="18" x14ac:dyDescent="0.35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" x14ac:dyDescent="0.35">
      <c r="A87" s="108" t="s">
        <v>56</v>
      </c>
      <c r="B87" s="120">
        <f>B84/B85</f>
        <v>1</v>
      </c>
      <c r="C87" s="99" t="s">
        <v>57</v>
      </c>
      <c r="D87" s="99"/>
      <c r="E87" s="99"/>
      <c r="F87" s="99"/>
      <c r="G87" s="99"/>
      <c r="I87" s="111"/>
      <c r="J87" s="111"/>
      <c r="K87" s="111"/>
      <c r="L87" s="111"/>
    </row>
    <row r="88" spans="1:12" ht="19.5" customHeight="1" x14ac:dyDescent="0.35">
      <c r="A88" s="106"/>
      <c r="B88" s="106"/>
    </row>
    <row r="89" spans="1:12" ht="27" customHeight="1" x14ac:dyDescent="0.45">
      <c r="A89" s="121" t="s">
        <v>58</v>
      </c>
      <c r="B89" s="122">
        <v>100</v>
      </c>
      <c r="D89" s="200" t="s">
        <v>59</v>
      </c>
      <c r="E89" s="201"/>
      <c r="F89" s="314" t="s">
        <v>60</v>
      </c>
      <c r="G89" s="315"/>
    </row>
    <row r="90" spans="1:12" ht="27" customHeight="1" x14ac:dyDescent="0.45">
      <c r="A90" s="123" t="s">
        <v>61</v>
      </c>
      <c r="B90" s="124">
        <v>2</v>
      </c>
      <c r="C90" s="202" t="s">
        <v>62</v>
      </c>
      <c r="D90" s="126" t="s">
        <v>63</v>
      </c>
      <c r="E90" s="127" t="s">
        <v>64</v>
      </c>
      <c r="F90" s="126" t="s">
        <v>63</v>
      </c>
      <c r="G90" s="203" t="s">
        <v>64</v>
      </c>
      <c r="I90" s="129" t="s">
        <v>65</v>
      </c>
    </row>
    <row r="91" spans="1:12" ht="26.25" customHeight="1" x14ac:dyDescent="0.45">
      <c r="A91" s="123" t="s">
        <v>66</v>
      </c>
      <c r="B91" s="124">
        <v>20</v>
      </c>
      <c r="C91" s="204">
        <v>1</v>
      </c>
      <c r="D91" s="287">
        <v>14866496</v>
      </c>
      <c r="E91" s="131">
        <f>IF(ISBLANK(D91),"-",$D$101/$D$98*D91)</f>
        <v>9826828.5811698958</v>
      </c>
      <c r="F91" s="287">
        <v>12216140</v>
      </c>
      <c r="G91" s="132">
        <f>IF(ISBLANK(F91),"-",$D$101/$F$98*F91)</f>
        <v>9844057.76178056</v>
      </c>
      <c r="I91" s="133"/>
    </row>
    <row r="92" spans="1:12" ht="26.25" customHeight="1" x14ac:dyDescent="0.45">
      <c r="A92" s="123" t="s">
        <v>67</v>
      </c>
      <c r="B92" s="124">
        <v>1</v>
      </c>
      <c r="C92" s="189">
        <v>2</v>
      </c>
      <c r="D92" s="288">
        <v>14837301</v>
      </c>
      <c r="E92" s="136">
        <f>IF(ISBLANK(D92),"-",$D$101/$D$98*D92)</f>
        <v>9807530.5394237265</v>
      </c>
      <c r="F92" s="288">
        <v>12208234</v>
      </c>
      <c r="G92" s="137">
        <f>IF(ISBLANK(F92),"-",$D$101/$F$98*F92)</f>
        <v>9837686.9179080576</v>
      </c>
      <c r="I92" s="316">
        <f>ABS((F96/D96*D95)-F95)/D95</f>
        <v>2.7712868791039879E-3</v>
      </c>
    </row>
    <row r="93" spans="1:12" ht="26.25" customHeight="1" x14ac:dyDescent="0.45">
      <c r="A93" s="123" t="s">
        <v>68</v>
      </c>
      <c r="B93" s="124">
        <v>1</v>
      </c>
      <c r="C93" s="189">
        <v>3</v>
      </c>
      <c r="D93" s="288">
        <v>14862949</v>
      </c>
      <c r="E93" s="136">
        <f>IF(ISBLANK(D93),"-",$D$101/$D$98*D93)</f>
        <v>9824483.9963412043</v>
      </c>
      <c r="F93" s="288">
        <v>12256553</v>
      </c>
      <c r="G93" s="137">
        <f>IF(ISBLANK(F93),"-",$D$101/$F$98*F93)</f>
        <v>9876623.5236600768</v>
      </c>
      <c r="I93" s="316"/>
    </row>
    <row r="94" spans="1:12" ht="27" customHeight="1" x14ac:dyDescent="0.45">
      <c r="A94" s="123" t="s">
        <v>69</v>
      </c>
      <c r="B94" s="124">
        <v>1</v>
      </c>
      <c r="C94" s="205">
        <v>4</v>
      </c>
      <c r="D94" s="140"/>
      <c r="E94" s="141" t="str">
        <f>IF(ISBLANK(D94),"-",$D$101/$D$98*D94)</f>
        <v>-</v>
      </c>
      <c r="F94" s="206"/>
      <c r="G94" s="142" t="str">
        <f>IF(ISBLANK(F94),"-",$D$101/$F$98*F94)</f>
        <v>-</v>
      </c>
      <c r="I94" s="143"/>
    </row>
    <row r="95" spans="1:12" ht="27" customHeight="1" x14ac:dyDescent="0.45">
      <c r="A95" s="123" t="s">
        <v>70</v>
      </c>
      <c r="B95" s="124">
        <v>1</v>
      </c>
      <c r="C95" s="207" t="s">
        <v>71</v>
      </c>
      <c r="D95" s="208">
        <f>AVERAGE(D91:D94)</f>
        <v>14855582</v>
      </c>
      <c r="E95" s="146">
        <f>AVERAGE(E91:E94)</f>
        <v>9819614.3723116089</v>
      </c>
      <c r="F95" s="209">
        <f>AVERAGE(F91:F94)</f>
        <v>12226975.666666666</v>
      </c>
      <c r="G95" s="210">
        <f>AVERAGE(G91:G94)</f>
        <v>9852789.4011162315</v>
      </c>
    </row>
    <row r="96" spans="1:12" ht="26.25" customHeight="1" x14ac:dyDescent="0.45">
      <c r="A96" s="123" t="s">
        <v>72</v>
      </c>
      <c r="B96" s="109">
        <v>1</v>
      </c>
      <c r="C96" s="211" t="s">
        <v>113</v>
      </c>
      <c r="D96" s="212">
        <v>16.86</v>
      </c>
      <c r="E96" s="138"/>
      <c r="F96" s="150">
        <v>13.83</v>
      </c>
    </row>
    <row r="97" spans="1:10" ht="26.25" customHeight="1" x14ac:dyDescent="0.45">
      <c r="A97" s="123" t="s">
        <v>74</v>
      </c>
      <c r="B97" s="109">
        <v>1</v>
      </c>
      <c r="C97" s="213" t="s">
        <v>114</v>
      </c>
      <c r="D97" s="214">
        <f>D96*$B$87</f>
        <v>16.86</v>
      </c>
      <c r="E97" s="153"/>
      <c r="F97" s="152">
        <f>F96*$B$87</f>
        <v>13.83</v>
      </c>
    </row>
    <row r="98" spans="1:10" ht="19.5" customHeight="1" x14ac:dyDescent="0.35">
      <c r="A98" s="123" t="s">
        <v>76</v>
      </c>
      <c r="B98" s="215">
        <f>(B97/B96)*(B95/B94)*(B93/B92)*(B91/B90)*B89</f>
        <v>1000</v>
      </c>
      <c r="C98" s="213" t="s">
        <v>115</v>
      </c>
      <c r="D98" s="216">
        <f>D97*$B$83/100</f>
        <v>16.809419999999999</v>
      </c>
      <c r="E98" s="156"/>
      <c r="F98" s="155">
        <f>F97*$B$83/100</f>
        <v>13.78851</v>
      </c>
    </row>
    <row r="99" spans="1:10" ht="19.5" customHeight="1" x14ac:dyDescent="0.35">
      <c r="A99" s="302" t="s">
        <v>78</v>
      </c>
      <c r="B99" s="317"/>
      <c r="C99" s="213" t="s">
        <v>116</v>
      </c>
      <c r="D99" s="217">
        <f>D98/$B$98</f>
        <v>1.6809419999999999E-2</v>
      </c>
      <c r="E99" s="156"/>
      <c r="F99" s="159">
        <f>F98/$B$98</f>
        <v>1.378851E-2</v>
      </c>
      <c r="G99" s="218"/>
      <c r="H99" s="148"/>
    </row>
    <row r="100" spans="1:10" ht="19.5" customHeight="1" x14ac:dyDescent="0.35">
      <c r="A100" s="304"/>
      <c r="B100" s="318"/>
      <c r="C100" s="213" t="s">
        <v>80</v>
      </c>
      <c r="D100" s="219">
        <f>$B$56/$B$116</f>
        <v>1.1111111111111112E-2</v>
      </c>
      <c r="F100" s="164"/>
      <c r="G100" s="220"/>
      <c r="H100" s="148"/>
    </row>
    <row r="101" spans="1:10" ht="18" x14ac:dyDescent="0.35">
      <c r="C101" s="213" t="s">
        <v>81</v>
      </c>
      <c r="D101" s="214">
        <f>D100*$B$98</f>
        <v>11.111111111111111</v>
      </c>
      <c r="F101" s="164"/>
      <c r="G101" s="218"/>
      <c r="H101" s="148"/>
    </row>
    <row r="102" spans="1:10" ht="19.5" customHeight="1" x14ac:dyDescent="0.35">
      <c r="C102" s="221" t="s">
        <v>82</v>
      </c>
      <c r="D102" s="222">
        <f>D101/B34</f>
        <v>11.111111111111111</v>
      </c>
      <c r="F102" s="168"/>
      <c r="G102" s="218"/>
      <c r="H102" s="148"/>
      <c r="J102" s="223"/>
    </row>
    <row r="103" spans="1:10" ht="18" x14ac:dyDescent="0.35">
      <c r="C103" s="224" t="s">
        <v>117</v>
      </c>
      <c r="D103" s="225">
        <f>AVERAGE(E91:E94,G91:G94)</f>
        <v>9836201.8867139202</v>
      </c>
      <c r="F103" s="168"/>
      <c r="G103" s="226"/>
      <c r="H103" s="148"/>
      <c r="J103" s="227"/>
    </row>
    <row r="104" spans="1:10" ht="18" x14ac:dyDescent="0.35">
      <c r="C104" s="191" t="s">
        <v>84</v>
      </c>
      <c r="D104" s="228">
        <f>STDEV(E91:E94,G91:G94)/D103</f>
        <v>2.3821117058282779E-3</v>
      </c>
      <c r="F104" s="168"/>
      <c r="G104" s="218"/>
      <c r="H104" s="148"/>
      <c r="J104" s="227"/>
    </row>
    <row r="105" spans="1:10" ht="19.5" customHeight="1" x14ac:dyDescent="0.35">
      <c r="C105" s="193" t="s">
        <v>20</v>
      </c>
      <c r="D105" s="229">
        <f>COUNT(E91:E94,G91:G94)</f>
        <v>6</v>
      </c>
      <c r="F105" s="168"/>
      <c r="G105" s="218"/>
      <c r="H105" s="148"/>
      <c r="J105" s="227"/>
    </row>
    <row r="106" spans="1:10" ht="19.5" customHeight="1" x14ac:dyDescent="0.35">
      <c r="A106" s="172"/>
      <c r="B106" s="172"/>
      <c r="C106" s="172"/>
      <c r="D106" s="172"/>
      <c r="E106" s="172"/>
    </row>
    <row r="107" spans="1:10" ht="27" customHeight="1" x14ac:dyDescent="0.45">
      <c r="A107" s="121" t="s">
        <v>118</v>
      </c>
      <c r="B107" s="122">
        <v>900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5">
      <c r="A108" s="123" t="s">
        <v>122</v>
      </c>
      <c r="B108" s="124">
        <v>5</v>
      </c>
      <c r="C108" s="273">
        <v>1</v>
      </c>
      <c r="D108" s="274">
        <v>9371675</v>
      </c>
      <c r="E108" s="248">
        <f t="shared" ref="E108:E113" si="1">IF(ISBLANK(D108),"-",D108/$D$103*$D$100*$B$116)</f>
        <v>190.55475086697092</v>
      </c>
      <c r="F108" s="275">
        <f t="shared" ref="F108:F113" si="2">IF(ISBLANK(D108), "-", (E108/$B$56)*100)</f>
        <v>95.27737543348546</v>
      </c>
    </row>
    <row r="109" spans="1:10" ht="26.25" customHeight="1" x14ac:dyDescent="0.45">
      <c r="A109" s="123" t="s">
        <v>95</v>
      </c>
      <c r="B109" s="124">
        <v>100</v>
      </c>
      <c r="C109" s="269">
        <v>2</v>
      </c>
      <c r="D109" s="271">
        <v>8155613</v>
      </c>
      <c r="E109" s="249">
        <f t="shared" si="1"/>
        <v>165.8284995352943</v>
      </c>
      <c r="F109" s="276">
        <f t="shared" si="2"/>
        <v>82.914249767647149</v>
      </c>
    </row>
    <row r="110" spans="1:10" ht="26.25" customHeight="1" x14ac:dyDescent="0.45">
      <c r="A110" s="123" t="s">
        <v>96</v>
      </c>
      <c r="B110" s="124">
        <v>1</v>
      </c>
      <c r="C110" s="269">
        <v>3</v>
      </c>
      <c r="D110" s="271">
        <v>9463121</v>
      </c>
      <c r="E110" s="249">
        <f t="shared" si="1"/>
        <v>192.41412709883778</v>
      </c>
      <c r="F110" s="276">
        <f t="shared" si="2"/>
        <v>96.207063549418891</v>
      </c>
    </row>
    <row r="111" spans="1:10" ht="26.25" customHeight="1" x14ac:dyDescent="0.45">
      <c r="A111" s="123" t="s">
        <v>97</v>
      </c>
      <c r="B111" s="124">
        <v>1</v>
      </c>
      <c r="C111" s="269">
        <v>4</v>
      </c>
      <c r="D111" s="271">
        <v>8791545</v>
      </c>
      <c r="E111" s="249">
        <f t="shared" si="1"/>
        <v>178.75893767237591</v>
      </c>
      <c r="F111" s="276">
        <f t="shared" si="2"/>
        <v>89.379468836187954</v>
      </c>
    </row>
    <row r="112" spans="1:10" ht="26.25" customHeight="1" x14ac:dyDescent="0.45">
      <c r="A112" s="123" t="s">
        <v>98</v>
      </c>
      <c r="B112" s="124">
        <v>1</v>
      </c>
      <c r="C112" s="269">
        <v>5</v>
      </c>
      <c r="D112" s="271">
        <v>9739307</v>
      </c>
      <c r="E112" s="249">
        <f t="shared" si="1"/>
        <v>198.02983127369927</v>
      </c>
      <c r="F112" s="276">
        <f t="shared" si="2"/>
        <v>99.014915636849636</v>
      </c>
    </row>
    <row r="113" spans="1:10" ht="27" customHeight="1" x14ac:dyDescent="0.45">
      <c r="A113" s="123" t="s">
        <v>100</v>
      </c>
      <c r="B113" s="124">
        <v>1</v>
      </c>
      <c r="C113" s="270">
        <v>6</v>
      </c>
      <c r="D113" s="272">
        <v>9871844</v>
      </c>
      <c r="E113" s="250">
        <f t="shared" si="1"/>
        <v>200.72471292672878</v>
      </c>
      <c r="F113" s="277">
        <f t="shared" si="2"/>
        <v>100.36235646336439</v>
      </c>
    </row>
    <row r="114" spans="1:10" ht="27" customHeight="1" x14ac:dyDescent="0.45">
      <c r="A114" s="123" t="s">
        <v>101</v>
      </c>
      <c r="B114" s="124">
        <v>1</v>
      </c>
      <c r="C114" s="231"/>
      <c r="D114" s="189"/>
      <c r="E114" s="98"/>
      <c r="F114" s="278"/>
    </row>
    <row r="115" spans="1:10" ht="26.25" customHeight="1" x14ac:dyDescent="0.45">
      <c r="A115" s="123" t="s">
        <v>102</v>
      </c>
      <c r="B115" s="124">
        <v>1</v>
      </c>
      <c r="C115" s="231"/>
      <c r="D115" s="255" t="s">
        <v>71</v>
      </c>
      <c r="E115" s="257">
        <f>AVERAGE(E108:E113)</f>
        <v>187.71847656231785</v>
      </c>
      <c r="F115" s="279">
        <f>AVERAGE(F108:F113)</f>
        <v>93.859238281158923</v>
      </c>
    </row>
    <row r="116" spans="1:10" ht="27" customHeight="1" x14ac:dyDescent="0.45">
      <c r="A116" s="123" t="s">
        <v>103</v>
      </c>
      <c r="B116" s="154">
        <f>(B115/B114)*(B113/B112)*(B111/B110)*(B109/B108)*B107</f>
        <v>18000</v>
      </c>
      <c r="C116" s="232"/>
      <c r="D116" s="256" t="s">
        <v>84</v>
      </c>
      <c r="E116" s="254">
        <f>STDEV(E108:E113)/E115</f>
        <v>7.0068386195451651E-2</v>
      </c>
      <c r="F116" s="233">
        <f>STDEV(F108:F113)/F115</f>
        <v>7.0068386195451651E-2</v>
      </c>
      <c r="I116" s="98"/>
    </row>
    <row r="117" spans="1:10" ht="27" customHeight="1" x14ac:dyDescent="0.45">
      <c r="A117" s="302" t="s">
        <v>78</v>
      </c>
      <c r="B117" s="303"/>
      <c r="C117" s="234"/>
      <c r="D117" s="193" t="s">
        <v>20</v>
      </c>
      <c r="E117" s="259">
        <f>COUNT(E108:E113)</f>
        <v>6</v>
      </c>
      <c r="F117" s="260">
        <f>COUNT(F108:F113)</f>
        <v>6</v>
      </c>
      <c r="I117" s="98"/>
      <c r="J117" s="227"/>
    </row>
    <row r="118" spans="1:10" ht="26.25" customHeight="1" x14ac:dyDescent="0.35">
      <c r="A118" s="304"/>
      <c r="B118" s="305"/>
      <c r="C118" s="98"/>
      <c r="D118" s="258"/>
      <c r="E118" s="339" t="s">
        <v>123</v>
      </c>
      <c r="F118" s="340"/>
      <c r="G118" s="98"/>
      <c r="H118" s="98"/>
      <c r="I118" s="98"/>
    </row>
    <row r="119" spans="1:10" ht="25.5" customHeight="1" x14ac:dyDescent="0.45">
      <c r="A119" s="243"/>
      <c r="B119" s="119"/>
      <c r="C119" s="98"/>
      <c r="D119" s="256" t="s">
        <v>124</v>
      </c>
      <c r="E119" s="261">
        <f>MIN(E108:E113)</f>
        <v>165.8284995352943</v>
      </c>
      <c r="F119" s="280">
        <f>MIN(F108:F113)</f>
        <v>82.914249767647149</v>
      </c>
      <c r="G119" s="98"/>
      <c r="H119" s="98"/>
      <c r="I119" s="98"/>
    </row>
    <row r="120" spans="1:10" ht="24" customHeight="1" x14ac:dyDescent="0.45">
      <c r="A120" s="243"/>
      <c r="B120" s="119"/>
      <c r="C120" s="98"/>
      <c r="D120" s="165" t="s">
        <v>125</v>
      </c>
      <c r="E120" s="262">
        <f>MAX(E108:E113)</f>
        <v>200.72471292672878</v>
      </c>
      <c r="F120" s="281">
        <f>MAX(F108:F113)</f>
        <v>100.36235646336439</v>
      </c>
      <c r="G120" s="98"/>
      <c r="H120" s="98"/>
      <c r="I120" s="98"/>
    </row>
    <row r="121" spans="1:10" ht="27" customHeight="1" x14ac:dyDescent="0.35">
      <c r="A121" s="243"/>
      <c r="B121" s="119"/>
      <c r="C121" s="98"/>
      <c r="D121" s="98"/>
      <c r="E121" s="98"/>
      <c r="F121" s="189"/>
      <c r="G121" s="98"/>
      <c r="H121" s="98"/>
      <c r="I121" s="98"/>
    </row>
    <row r="122" spans="1:10" ht="25.5" customHeight="1" x14ac:dyDescent="0.35">
      <c r="A122" s="243"/>
      <c r="B122" s="119"/>
      <c r="C122" s="98"/>
      <c r="D122" s="98"/>
      <c r="E122" s="98"/>
      <c r="F122" s="189"/>
      <c r="G122" s="98"/>
      <c r="H122" s="98"/>
      <c r="I122" s="98"/>
    </row>
    <row r="123" spans="1:10" ht="18" x14ac:dyDescent="0.35">
      <c r="A123" s="243"/>
      <c r="B123" s="119"/>
      <c r="C123" s="98"/>
      <c r="D123" s="98"/>
      <c r="E123" s="98"/>
      <c r="F123" s="189"/>
      <c r="G123" s="98"/>
      <c r="H123" s="98"/>
      <c r="I123" s="98"/>
    </row>
    <row r="124" spans="1:10" ht="45.75" customHeight="1" x14ac:dyDescent="0.85">
      <c r="A124" s="107" t="s">
        <v>106</v>
      </c>
      <c r="B124" s="195" t="s">
        <v>126</v>
      </c>
      <c r="C124" s="306" t="str">
        <f>B26</f>
        <v>Nevirapine</v>
      </c>
      <c r="D124" s="306"/>
      <c r="E124" s="196" t="s">
        <v>127</v>
      </c>
      <c r="F124" s="196"/>
      <c r="G124" s="282">
        <f>F115</f>
        <v>93.859238281158923</v>
      </c>
      <c r="H124" s="98"/>
      <c r="I124" s="98"/>
    </row>
    <row r="125" spans="1:10" ht="45.75" customHeight="1" x14ac:dyDescent="0.85">
      <c r="A125" s="107"/>
      <c r="B125" s="195" t="s">
        <v>128</v>
      </c>
      <c r="C125" s="108" t="s">
        <v>129</v>
      </c>
      <c r="D125" s="282">
        <f>MIN(F108:F113)</f>
        <v>82.914249767647149</v>
      </c>
      <c r="E125" s="207" t="s">
        <v>130</v>
      </c>
      <c r="F125" s="282">
        <f>MAX(F108:F113)</f>
        <v>100.36235646336439</v>
      </c>
      <c r="G125" s="197"/>
      <c r="H125" s="98"/>
      <c r="I125" s="98"/>
    </row>
    <row r="126" spans="1:10" ht="19.5" customHeight="1" x14ac:dyDescent="0.35">
      <c r="A126" s="235"/>
      <c r="B126" s="235"/>
      <c r="C126" s="236"/>
      <c r="D126" s="236"/>
      <c r="E126" s="236"/>
      <c r="F126" s="236"/>
      <c r="G126" s="236"/>
      <c r="H126" s="236"/>
    </row>
    <row r="127" spans="1:10" ht="18" x14ac:dyDescent="0.35">
      <c r="B127" s="307" t="s">
        <v>26</v>
      </c>
      <c r="C127" s="307"/>
      <c r="E127" s="202" t="s">
        <v>27</v>
      </c>
      <c r="F127" s="237"/>
      <c r="G127" s="307" t="s">
        <v>28</v>
      </c>
      <c r="H127" s="307"/>
    </row>
    <row r="128" spans="1:10" ht="69.900000000000006" customHeight="1" x14ac:dyDescent="0.35">
      <c r="A128" s="238" t="s">
        <v>29</v>
      </c>
      <c r="B128" s="239"/>
      <c r="C128" s="239"/>
      <c r="E128" s="239"/>
      <c r="F128" s="98"/>
      <c r="G128" s="240"/>
      <c r="H128" s="240"/>
    </row>
    <row r="129" spans="1:9" ht="69.900000000000006" customHeight="1" x14ac:dyDescent="0.35">
      <c r="A129" s="238" t="s">
        <v>30</v>
      </c>
      <c r="B129" s="241"/>
      <c r="C129" s="241"/>
      <c r="E129" s="241"/>
      <c r="F129" s="98"/>
      <c r="G129" s="242"/>
      <c r="H129" s="242"/>
    </row>
    <row r="130" spans="1:9" ht="18" x14ac:dyDescent="0.35">
      <c r="A130" s="188"/>
      <c r="B130" s="188"/>
      <c r="C130" s="189"/>
      <c r="D130" s="189"/>
      <c r="E130" s="189"/>
      <c r="F130" s="192"/>
      <c r="G130" s="189"/>
      <c r="H130" s="189"/>
      <c r="I130" s="98"/>
    </row>
    <row r="131" spans="1:9" ht="18" x14ac:dyDescent="0.35">
      <c r="A131" s="188"/>
      <c r="B131" s="188"/>
      <c r="C131" s="189"/>
      <c r="D131" s="189"/>
      <c r="E131" s="189"/>
      <c r="F131" s="192"/>
      <c r="G131" s="189"/>
      <c r="H131" s="189"/>
      <c r="I131" s="98"/>
    </row>
    <row r="132" spans="1:9" ht="18" x14ac:dyDescent="0.35">
      <c r="A132" s="188"/>
      <c r="B132" s="188"/>
      <c r="C132" s="189"/>
      <c r="D132" s="189"/>
      <c r="E132" s="189"/>
      <c r="F132" s="192"/>
      <c r="G132" s="189"/>
      <c r="H132" s="189"/>
      <c r="I132" s="98"/>
    </row>
    <row r="133" spans="1:9" ht="18" x14ac:dyDescent="0.35">
      <c r="A133" s="188"/>
      <c r="B133" s="188"/>
      <c r="C133" s="189"/>
      <c r="D133" s="189"/>
      <c r="E133" s="189"/>
      <c r="F133" s="192"/>
      <c r="G133" s="189"/>
      <c r="H133" s="189"/>
      <c r="I133" s="98"/>
    </row>
    <row r="134" spans="1:9" ht="18" x14ac:dyDescent="0.35">
      <c r="A134" s="188"/>
      <c r="B134" s="188"/>
      <c r="C134" s="189"/>
      <c r="D134" s="189"/>
      <c r="E134" s="189"/>
      <c r="F134" s="192"/>
      <c r="G134" s="189"/>
      <c r="H134" s="189"/>
      <c r="I134" s="98"/>
    </row>
    <row r="135" spans="1:9" ht="18" x14ac:dyDescent="0.35">
      <c r="A135" s="188"/>
      <c r="B135" s="188"/>
      <c r="C135" s="189"/>
      <c r="D135" s="189"/>
      <c r="E135" s="189"/>
      <c r="F135" s="192"/>
      <c r="G135" s="189"/>
      <c r="H135" s="189"/>
      <c r="I135" s="98"/>
    </row>
    <row r="136" spans="1:9" ht="18" x14ac:dyDescent="0.35">
      <c r="A136" s="188"/>
      <c r="B136" s="188"/>
      <c r="C136" s="189"/>
      <c r="D136" s="189"/>
      <c r="E136" s="189"/>
      <c r="F136" s="192"/>
      <c r="G136" s="189"/>
      <c r="H136" s="189"/>
      <c r="I136" s="98"/>
    </row>
    <row r="137" spans="1:9" ht="18" x14ac:dyDescent="0.35">
      <c r="A137" s="188"/>
      <c r="B137" s="188"/>
      <c r="C137" s="189"/>
      <c r="D137" s="189"/>
      <c r="E137" s="189"/>
      <c r="F137" s="192"/>
      <c r="G137" s="189"/>
      <c r="H137" s="189"/>
      <c r="I137" s="98"/>
    </row>
    <row r="138" spans="1:9" ht="18" x14ac:dyDescent="0.35">
      <c r="A138" s="188"/>
      <c r="B138" s="188"/>
      <c r="C138" s="189"/>
      <c r="D138" s="189"/>
      <c r="E138" s="189"/>
      <c r="F138" s="192"/>
      <c r="G138" s="189"/>
      <c r="H138" s="189"/>
      <c r="I138" s="98"/>
    </row>
    <row r="250" spans="1:1" x14ac:dyDescent="0.3">
      <c r="A250" s="2">
        <v>0</v>
      </c>
    </row>
  </sheetData>
  <sheetProtection password="F258" sheet="1" objects="1" scenarios="1" formatCells="0" formatColumns="0"/>
  <mergeCells count="37">
    <mergeCell ref="E118:F118"/>
    <mergeCell ref="C64:C67"/>
    <mergeCell ref="D64:D67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I39:I40"/>
    <mergeCell ref="A46:B47"/>
    <mergeCell ref="C60:C63"/>
    <mergeCell ref="D60:D63"/>
    <mergeCell ref="C32:H32"/>
    <mergeCell ref="D36:E36"/>
    <mergeCell ref="F36:G36"/>
    <mergeCell ref="I92:I93"/>
    <mergeCell ref="A99:B100"/>
    <mergeCell ref="C68:C71"/>
    <mergeCell ref="D68:D71"/>
    <mergeCell ref="A70:B71"/>
    <mergeCell ref="C76:D76"/>
    <mergeCell ref="B79:C79"/>
    <mergeCell ref="B80:C80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2017-09-28T08:20:50Z</cp:lastPrinted>
  <dcterms:created xsi:type="dcterms:W3CDTF">2005-07-05T10:19:27Z</dcterms:created>
  <dcterms:modified xsi:type="dcterms:W3CDTF">2017-10-12T12:08:57Z</dcterms:modified>
</cp:coreProperties>
</file>