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648" windowWidth="20772" windowHeight="11328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3"/>
  <c r="B116" i="3"/>
  <c r="D100" i="3"/>
  <c r="D101" i="3"/>
  <c r="B98" i="3"/>
  <c r="F95" i="3"/>
  <c r="I92" i="3"/>
  <c r="D95" i="3"/>
  <c r="B87" i="3"/>
  <c r="F97" i="3"/>
  <c r="F98" i="3"/>
  <c r="G91" i="3"/>
  <c r="F99" i="3"/>
  <c r="B83" i="3"/>
  <c r="B81" i="3"/>
  <c r="B80" i="3"/>
  <c r="B79" i="3"/>
  <c r="C76" i="3"/>
  <c r="B68" i="3"/>
  <c r="B57" i="3"/>
  <c r="B69" i="3"/>
  <c r="C56" i="3"/>
  <c r="B55" i="3"/>
  <c r="B45" i="3"/>
  <c r="D48" i="3"/>
  <c r="F42" i="3"/>
  <c r="D42" i="3"/>
  <c r="I39" i="3"/>
  <c r="B34" i="3"/>
  <c r="F44" i="3"/>
  <c r="B30" i="3"/>
  <c r="D50" i="2"/>
  <c r="D49" i="2"/>
  <c r="C49" i="2"/>
  <c r="B49" i="2"/>
  <c r="C46" i="2"/>
  <c r="C50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F45" i="3"/>
  <c r="F46" i="3"/>
  <c r="G94" i="3"/>
  <c r="D102" i="3"/>
  <c r="G93" i="3"/>
  <c r="D49" i="3"/>
  <c r="G38" i="3"/>
  <c r="G41" i="3"/>
  <c r="D97" i="3"/>
  <c r="D98" i="3"/>
  <c r="D99" i="3"/>
  <c r="D44" i="3"/>
  <c r="D45" i="3"/>
  <c r="D46" i="3"/>
  <c r="G39" i="3"/>
  <c r="G40" i="3"/>
  <c r="E41" i="3"/>
  <c r="E40" i="3"/>
  <c r="E38" i="3"/>
  <c r="E94" i="3"/>
  <c r="E39" i="3"/>
  <c r="E42" i="3"/>
  <c r="D52" i="3"/>
  <c r="G42" i="3"/>
  <c r="D50" i="3"/>
  <c r="G67" i="3"/>
  <c r="H67" i="3"/>
  <c r="D51" i="3"/>
  <c r="G69" i="3"/>
  <c r="H69" i="3"/>
  <c r="G61" i="3"/>
  <c r="H61" i="3"/>
  <c r="G60" i="3"/>
  <c r="H60" i="3"/>
  <c r="G63" i="3"/>
  <c r="H63" i="3"/>
  <c r="G66" i="3"/>
  <c r="H66" i="3"/>
  <c r="G70" i="3"/>
  <c r="H70" i="3"/>
  <c r="G62" i="3"/>
  <c r="H62" i="3"/>
  <c r="G71" i="3"/>
  <c r="H71" i="3"/>
  <c r="G65" i="3"/>
  <c r="H65" i="3"/>
  <c r="G64" i="3"/>
  <c r="H64" i="3"/>
  <c r="G68" i="3"/>
  <c r="H68" i="3"/>
  <c r="E113" i="3"/>
  <c r="F113" i="3"/>
  <c r="E111" i="3"/>
  <c r="F111" i="3"/>
  <c r="E109" i="3"/>
  <c r="F109" i="3"/>
  <c r="E112" i="3"/>
  <c r="F112" i="3"/>
  <c r="E110" i="3"/>
  <c r="F110" i="3"/>
  <c r="E108" i="3"/>
  <c r="F108" i="3"/>
  <c r="G72" i="3"/>
  <c r="G73" i="3"/>
  <c r="G74" i="3"/>
  <c r="H74" i="3"/>
  <c r="H72" i="3"/>
  <c r="G76" i="3"/>
  <c r="H73" i="3"/>
  <c r="E117" i="3"/>
  <c r="G92" i="3"/>
  <c r="G95" i="3"/>
  <c r="E92" i="3"/>
  <c r="E93" i="3"/>
  <c r="E91" i="3"/>
  <c r="D125" i="3"/>
  <c r="E119" i="3"/>
  <c r="E120" i="3"/>
  <c r="F120" i="3"/>
  <c r="F115" i="3"/>
  <c r="F117" i="3"/>
  <c r="F125" i="3"/>
  <c r="E115" i="3"/>
  <c r="E116" i="3"/>
  <c r="F119" i="3"/>
  <c r="D105" i="3"/>
  <c r="E95" i="3"/>
  <c r="D103" i="3"/>
  <c r="D104" i="3"/>
  <c r="G124" i="3"/>
  <c r="F116" i="3"/>
</calcChain>
</file>

<file path=xl/sharedStrings.xml><?xml version="1.0" encoding="utf-8"?>
<sst xmlns="http://schemas.openxmlformats.org/spreadsheetml/2006/main" count="241" uniqueCount="136">
  <si>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</si>
  <si>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</si>
  <si>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</si>
  <si>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</si>
  <si>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</si>
  <si>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</si>
  <si>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</si>
  <si>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NDQB201707018</t>
  </si>
  <si>
    <t>Weight (mg):</t>
  </si>
  <si>
    <t>Nevirapine USP</t>
  </si>
  <si>
    <t>Standard Conc (mg/mL):</t>
  </si>
  <si>
    <t>Each tablet contains: 200 mg of Nevirapine USP.</t>
  </si>
  <si>
    <t>2017-07-19 09:02:15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</si>
  <si>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</si>
  <si>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</si>
  <si>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</si>
  <si>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</si>
  <si>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</si>
  <si>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</si>
  <si>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</si>
  <si>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</si>
  <si>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</si>
  <si>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</si>
  <si>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</si>
  <si>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</si>
  <si>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</si>
  <si>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</si>
  <si>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</si>
  <si>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</si>
  <si>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</si>
  <si>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</si>
  <si>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</si>
  <si>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</si>
  <si>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</si>
  <si>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</si>
  <si>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</si>
  <si>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</si>
  <si>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</si>
  <si>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</si>
  <si>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</si>
  <si>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</si>
  <si>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</si>
  <si>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</si>
  <si>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</si>
  <si>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</si>
  <si>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</si>
  <si>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</si>
  <si>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</si>
  <si>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</si>
  <si>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</si>
  <si>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</si>
  <si>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</si>
  <si>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</si>
  <si>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</si>
  <si>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</si>
  <si>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</si>
  <si>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</si>
  <si>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</si>
  <si>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</si>
  <si>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</si>
  <si>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</si>
  <si>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</si>
  <si>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</si>
  <si>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</si>
  <si>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</si>
  <si>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</si>
  <si>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</si>
  <si>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</si>
  <si>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</si>
  <si>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</si>
  <si>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</si>
  <si>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</si>
  <si>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</si>
  <si>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</si>
  <si>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</si>
  <si>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</si>
  <si>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</si>
  <si>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</si>
  <si>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</si>
  <si>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</si>
  <si>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</si>
  <si>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</si>
  <si>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</si>
  <si>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</si>
  <si>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</si>
  <si>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</si>
  <si>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</si>
  <si>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</si>
  <si>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</si>
  <si>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</si>
  <si>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</si>
  <si>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</si>
  <si>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</si>
  <si>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</si>
  <si>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</si>
  <si>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</si>
  <si>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</si>
  <si>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</si>
  <si>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</si>
  <si>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</si>
  <si>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</si>
  <si>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</si>
  <si>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</si>
  <si>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</si>
  <si>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</si>
  <si>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</si>
  <si>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</si>
  <si>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</si>
  <si>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</si>
  <si>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</si>
  <si>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</si>
  <si>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</si>
  <si>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</si>
  <si>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</si>
  <si>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</si>
  <si>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</si>
  <si>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</si>
  <si>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</si>
  <si>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</si>
  <si>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</si>
  <si>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</si>
  <si>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</si>
  <si>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</si>
  <si>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</si>
  <si>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</si>
  <si>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</si>
  <si>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</si>
  <si>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</si>
  <si>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</si>
  <si>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</si>
  <si>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</si>
  <si>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</si>
  <si>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N1-6</t>
  </si>
  <si>
    <t xml:space="preserve">DR. </t>
  </si>
  <si>
    <t>PETER NGUMO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</si>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</sst>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2" sqref="B2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135</v>
      </c>
      <c r="D17" s="9"/>
      <c r="E17" s="10"/>
    </row>
    <row r="18" spans="1:6" ht="16.5" customHeight="1" x14ac:dyDescent="0.3">
      <c r="A18" s="11" t="s">
        <v>4</v>
      </c>
      <c r="B18" s="9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B20/100*2/20</f>
        <v>2.5350000000000001E-2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25">
        <f>AVERAGE(C24:C29)</f>
        <v>8634.0499999999993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86" t="s">
        <v>25</v>
      </c>
    </row>
    <row r="39" spans="1:6" ht="16.5" customHeight="1" x14ac:dyDescent="0.3">
      <c r="A39" s="11" t="s">
        <v>4</v>
      </c>
      <c r="B39" s="9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16.86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1.686E-2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14991155</v>
      </c>
      <c r="C45" s="18">
        <v>10559.9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14933280</v>
      </c>
      <c r="C46" s="18">
        <v>10551.7</v>
      </c>
      <c r="D46" s="19">
        <v>1.1000000000000001</v>
      </c>
      <c r="E46" s="19">
        <v>9.1999999999999993</v>
      </c>
    </row>
    <row r="47" spans="1:6" ht="16.5" customHeight="1" x14ac:dyDescent="0.3">
      <c r="A47" s="17">
        <v>3</v>
      </c>
      <c r="B47" s="18">
        <v>14879452</v>
      </c>
      <c r="C47" s="18">
        <v>10545.9</v>
      </c>
      <c r="D47" s="19">
        <v>1.1000000000000001</v>
      </c>
      <c r="E47" s="19">
        <v>9.1999999999999993</v>
      </c>
    </row>
    <row r="48" spans="1:6" ht="16.5" customHeight="1" x14ac:dyDescent="0.3">
      <c r="A48" s="17">
        <v>4</v>
      </c>
      <c r="B48" s="18">
        <v>14911081</v>
      </c>
      <c r="C48" s="18">
        <v>10515.9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14859970</v>
      </c>
      <c r="C49" s="18">
        <v>10503.2</v>
      </c>
      <c r="D49" s="19">
        <v>1.1000000000000001</v>
      </c>
      <c r="E49" s="19">
        <v>9.1999999999999993</v>
      </c>
    </row>
    <row r="50" spans="1:7" ht="16.5" customHeight="1" x14ac:dyDescent="0.3">
      <c r="A50" s="17">
        <v>6</v>
      </c>
      <c r="B50" s="21">
        <v>14892756</v>
      </c>
      <c r="C50" s="21">
        <v>10523.5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14911282.333333334</v>
      </c>
      <c r="C51" s="25">
        <f>AVERAGE(C45:C50)</f>
        <v>10533.35</v>
      </c>
      <c r="D51" s="26">
        <f>AVERAGE(D45:D50)</f>
        <v>1.0999999999999999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3.1244496792477449E-3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 t="s">
        <v>134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F23" sqref="F2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366.43</v>
      </c>
      <c r="D24" s="87">
        <f t="shared" ref="D24:D43" si="0">(C24-$C$46)/$C$46</f>
        <v>1.4888334032673704E-2</v>
      </c>
      <c r="E24" s="53"/>
    </row>
    <row r="25" spans="1:5" ht="15.75" customHeight="1" x14ac:dyDescent="0.3">
      <c r="C25" s="95">
        <v>354.55</v>
      </c>
      <c r="D25" s="88">
        <f t="shared" si="0"/>
        <v>-1.8015285780955525E-2</v>
      </c>
      <c r="E25" s="53"/>
    </row>
    <row r="26" spans="1:5" ht="15.75" customHeight="1" x14ac:dyDescent="0.3">
      <c r="C26" s="95">
        <v>348.38</v>
      </c>
      <c r="D26" s="88">
        <f t="shared" si="0"/>
        <v>-3.5104118630289949E-2</v>
      </c>
      <c r="E26" s="53"/>
    </row>
    <row r="27" spans="1:5" ht="15.75" customHeight="1" x14ac:dyDescent="0.3">
      <c r="C27" s="95">
        <v>390.63</v>
      </c>
      <c r="D27" s="88">
        <f t="shared" si="0"/>
        <v>8.1914226245622127E-2</v>
      </c>
      <c r="E27" s="53"/>
    </row>
    <row r="28" spans="1:5" ht="15.75" customHeight="1" x14ac:dyDescent="0.3">
      <c r="C28" s="95">
        <v>365.21</v>
      </c>
      <c r="D28" s="88">
        <f t="shared" si="0"/>
        <v>1.1509342772351433E-2</v>
      </c>
      <c r="E28" s="53"/>
    </row>
    <row r="29" spans="1:5" ht="15.75" customHeight="1" x14ac:dyDescent="0.3">
      <c r="C29" s="95">
        <v>361.85</v>
      </c>
      <c r="D29" s="88">
        <f t="shared" si="0"/>
        <v>2.203268481628131E-3</v>
      </c>
      <c r="E29" s="53"/>
    </row>
    <row r="30" spans="1:5" ht="15.75" customHeight="1" x14ac:dyDescent="0.3">
      <c r="C30" s="95">
        <v>356.5</v>
      </c>
      <c r="D30" s="88">
        <f t="shared" si="0"/>
        <v>-1.2614439094375001E-2</v>
      </c>
      <c r="E30" s="53"/>
    </row>
    <row r="31" spans="1:5" ht="15.75" customHeight="1" x14ac:dyDescent="0.3">
      <c r="C31" s="95">
        <v>362.03</v>
      </c>
      <c r="D31" s="88">
        <f t="shared" si="0"/>
        <v>2.7018081757738902E-3</v>
      </c>
      <c r="E31" s="53"/>
    </row>
    <row r="32" spans="1:5" ht="15.75" customHeight="1" x14ac:dyDescent="0.3">
      <c r="C32" s="95">
        <v>354.79</v>
      </c>
      <c r="D32" s="88">
        <f t="shared" si="0"/>
        <v>-1.735056618876097E-2</v>
      </c>
      <c r="E32" s="53"/>
    </row>
    <row r="33" spans="1:7" ht="15.75" customHeight="1" x14ac:dyDescent="0.3">
      <c r="C33" s="95">
        <v>350.98</v>
      </c>
      <c r="D33" s="88">
        <f t="shared" si="0"/>
        <v>-2.7902989714849145E-2</v>
      </c>
      <c r="E33" s="53"/>
    </row>
    <row r="34" spans="1:7" ht="15.75" customHeight="1" x14ac:dyDescent="0.3">
      <c r="C34" s="95">
        <v>342.93</v>
      </c>
      <c r="D34" s="88">
        <f t="shared" si="0"/>
        <v>-5.0198792703040708E-2</v>
      </c>
      <c r="E34" s="53"/>
    </row>
    <row r="35" spans="1:7" ht="15.75" customHeight="1" x14ac:dyDescent="0.3">
      <c r="C35" s="95">
        <v>354.27</v>
      </c>
      <c r="D35" s="88">
        <f t="shared" si="0"/>
        <v>-1.8790791971849227E-2</v>
      </c>
      <c r="E35" s="53"/>
    </row>
    <row r="36" spans="1:7" ht="15.75" customHeight="1" x14ac:dyDescent="0.3">
      <c r="C36" s="95">
        <v>374.06</v>
      </c>
      <c r="D36" s="88">
        <f t="shared" si="0"/>
        <v>3.6020877734524795E-2</v>
      </c>
      <c r="E36" s="53"/>
    </row>
    <row r="37" spans="1:7" ht="15.75" customHeight="1" x14ac:dyDescent="0.3">
      <c r="C37" s="95">
        <v>364.58</v>
      </c>
      <c r="D37" s="88">
        <f t="shared" si="0"/>
        <v>9.7644538428408052E-3</v>
      </c>
      <c r="E37" s="53"/>
    </row>
    <row r="38" spans="1:7" ht="15.75" customHeight="1" x14ac:dyDescent="0.3">
      <c r="C38" s="95">
        <v>366.38</v>
      </c>
      <c r="D38" s="88">
        <f t="shared" si="0"/>
        <v>1.4749850784299813E-2</v>
      </c>
      <c r="E38" s="53"/>
    </row>
    <row r="39" spans="1:7" ht="15.75" customHeight="1" x14ac:dyDescent="0.3">
      <c r="C39" s="95">
        <v>366.72</v>
      </c>
      <c r="D39" s="88">
        <f t="shared" si="0"/>
        <v>1.5691536873242151E-2</v>
      </c>
      <c r="E39" s="53"/>
    </row>
    <row r="40" spans="1:7" ht="15.75" customHeight="1" x14ac:dyDescent="0.3">
      <c r="C40" s="95">
        <v>355.94</v>
      </c>
      <c r="D40" s="88">
        <f t="shared" si="0"/>
        <v>-1.4165451476162244E-2</v>
      </c>
      <c r="E40" s="53"/>
    </row>
    <row r="41" spans="1:7" ht="15.75" customHeight="1" x14ac:dyDescent="0.3">
      <c r="C41" s="95">
        <v>367.76</v>
      </c>
      <c r="D41" s="88">
        <f t="shared" si="0"/>
        <v>1.8571988439418347E-2</v>
      </c>
      <c r="E41" s="53"/>
    </row>
    <row r="42" spans="1:7" ht="15.75" customHeight="1" x14ac:dyDescent="0.3">
      <c r="C42" s="95">
        <v>362.01</v>
      </c>
      <c r="D42" s="88">
        <f t="shared" si="0"/>
        <v>2.6464148764243963E-3</v>
      </c>
      <c r="E42" s="53"/>
    </row>
    <row r="43" spans="1:7" ht="16.5" customHeight="1" x14ac:dyDescent="0.3">
      <c r="C43" s="96">
        <v>355.09</v>
      </c>
      <c r="D43" s="89">
        <f t="shared" si="0"/>
        <v>-1.6519666698517933E-2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7221.09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361.05450000000002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361.05450000000002</v>
      </c>
      <c r="C49" s="93">
        <f>-IF(C46&lt;=80,10%,IF(C46&lt;250,7.5%,5%))</f>
        <v>-0.05</v>
      </c>
      <c r="D49" s="81">
        <f>IF(C46&lt;=80,C46*0.9,IF(C46&lt;250,C46*0.925,C46*0.95))</f>
        <v>343.00177500000001</v>
      </c>
    </row>
    <row r="50" spans="1:6" ht="17.25" customHeight="1" x14ac:dyDescent="0.3">
      <c r="B50" s="292"/>
      <c r="C50" s="94">
        <f>IF(C46&lt;=80, 10%, IF(C46&lt;250, 7.5%, 5%))</f>
        <v>0.05</v>
      </c>
      <c r="D50" s="81">
        <f>IF(C46&lt;=80, C46*1.1, IF(C46&lt;250, C46*1.075, C46*1.05))</f>
        <v>379.10722500000003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46" workbookViewId="0">
      <selection activeCell="G114" sqref="G114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335" t="s">
        <v>45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3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3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3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3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3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3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3">
      <c r="A8" s="336" t="s">
        <v>46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3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3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3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3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3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3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5">
      <c r="A15" s="98"/>
    </row>
    <row r="16" spans="1:9" ht="19.5" customHeight="1" x14ac:dyDescent="0.35">
      <c r="A16" s="306" t="s">
        <v>31</v>
      </c>
      <c r="B16" s="307"/>
      <c r="C16" s="307"/>
      <c r="D16" s="307"/>
      <c r="E16" s="307"/>
      <c r="F16" s="307"/>
      <c r="G16" s="307"/>
      <c r="H16" s="308"/>
    </row>
    <row r="17" spans="1:14" ht="20.25" customHeight="1" x14ac:dyDescent="0.3">
      <c r="A17" s="309" t="s">
        <v>47</v>
      </c>
      <c r="B17" s="309"/>
      <c r="C17" s="309"/>
      <c r="D17" s="309"/>
      <c r="E17" s="309"/>
      <c r="F17" s="309"/>
      <c r="G17" s="309"/>
      <c r="H17" s="309"/>
    </row>
    <row r="18" spans="1:14" ht="26.25" customHeight="1" x14ac:dyDescent="0.5">
      <c r="A18" s="100" t="s">
        <v>33</v>
      </c>
      <c r="B18" s="305" t="s">
        <v>135</v>
      </c>
      <c r="C18" s="305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10" t="s">
        <v>9</v>
      </c>
      <c r="C20" s="310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10" t="s">
        <v>11</v>
      </c>
      <c r="C21" s="310"/>
      <c r="D21" s="310"/>
      <c r="E21" s="310"/>
      <c r="F21" s="310"/>
      <c r="G21" s="310"/>
      <c r="H21" s="310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05" t="s">
        <v>131</v>
      </c>
      <c r="C26" s="305"/>
    </row>
    <row r="27" spans="1:14" ht="26.25" customHeight="1" x14ac:dyDescent="0.5">
      <c r="A27" s="109" t="s">
        <v>48</v>
      </c>
      <c r="B27" s="311" t="s">
        <v>132</v>
      </c>
      <c r="C27" s="311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312" t="s">
        <v>50</v>
      </c>
      <c r="D29" s="313"/>
      <c r="E29" s="313"/>
      <c r="F29" s="313"/>
      <c r="G29" s="314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15" t="s">
        <v>53</v>
      </c>
      <c r="D31" s="316"/>
      <c r="E31" s="316"/>
      <c r="F31" s="316"/>
      <c r="G31" s="316"/>
      <c r="H31" s="317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15" t="s">
        <v>55</v>
      </c>
      <c r="D32" s="316"/>
      <c r="E32" s="316"/>
      <c r="F32" s="316"/>
      <c r="G32" s="316"/>
      <c r="H32" s="317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23" t="s">
        <v>59</v>
      </c>
      <c r="E36" s="324"/>
      <c r="F36" s="323" t="s">
        <v>60</v>
      </c>
      <c r="G36" s="325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22517040</v>
      </c>
      <c r="E38" s="133">
        <f>IF(ISBLANK(D38),"-",$D$48/$D$45*D38)</f>
        <v>22272972.764447186</v>
      </c>
      <c r="F38" s="132">
        <v>22656630</v>
      </c>
      <c r="G38" s="134">
        <f>IF(ISBLANK(F38),"-",$D$48/$F$45*F38)</f>
        <v>22733897.972428694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22625148</v>
      </c>
      <c r="E39" s="138">
        <f>IF(ISBLANK(D39),"-",$D$48/$D$45*D39)</f>
        <v>22379908.957642157</v>
      </c>
      <c r="F39" s="137">
        <v>22730686</v>
      </c>
      <c r="G39" s="139">
        <f>IF(ISBLANK(F39),"-",$D$48/$F$45*F39)</f>
        <v>22808206.532362197</v>
      </c>
      <c r="I39" s="318">
        <f>ABS((F43/D43*D42)-F42)/D42</f>
        <v>1.940379822697133E-2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22616240</v>
      </c>
      <c r="E40" s="138">
        <f>IF(ISBLANK(D40),"-",$D$48/$D$45*D40)</f>
        <v>22371097.513447639</v>
      </c>
      <c r="F40" s="137">
        <v>22723633</v>
      </c>
      <c r="G40" s="139">
        <f>IF(ISBLANK(F40),"-",$D$48/$F$45*F40)</f>
        <v>22801129.478872798</v>
      </c>
      <c r="I40" s="318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22586142.666666668</v>
      </c>
      <c r="E42" s="148">
        <f>AVERAGE(E38:E41)</f>
        <v>22341326.411845658</v>
      </c>
      <c r="F42" s="147">
        <f>AVERAGE(F38:F41)</f>
        <v>22703649.666666668</v>
      </c>
      <c r="G42" s="149">
        <f>AVERAGE(G38:G41)</f>
        <v>22781077.994554561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25.35</v>
      </c>
      <c r="E43" s="140"/>
      <c r="F43" s="152">
        <v>24.99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25.35</v>
      </c>
      <c r="E44" s="155"/>
      <c r="F44" s="154">
        <f>F43*$B$34</f>
        <v>24.99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25.273950000000003</v>
      </c>
      <c r="E45" s="158"/>
      <c r="F45" s="157">
        <f>F44*$B$30/100</f>
        <v>24.915029999999998</v>
      </c>
      <c r="H45" s="150"/>
    </row>
    <row r="46" spans="1:14" ht="19.5" customHeight="1" x14ac:dyDescent="0.35">
      <c r="A46" s="319" t="s">
        <v>78</v>
      </c>
      <c r="B46" s="320"/>
      <c r="C46" s="153" t="s">
        <v>79</v>
      </c>
      <c r="D46" s="159">
        <f>D45/$B$45</f>
        <v>2.5273950000000003E-2</v>
      </c>
      <c r="E46" s="160"/>
      <c r="F46" s="161">
        <f>F45/$B$45</f>
        <v>2.4915029999999998E-2</v>
      </c>
      <c r="H46" s="150"/>
    </row>
    <row r="47" spans="1:14" ht="27" customHeight="1" x14ac:dyDescent="0.45">
      <c r="A47" s="321"/>
      <c r="B47" s="322"/>
      <c r="C47" s="162" t="s">
        <v>80</v>
      </c>
      <c r="D47" s="163">
        <v>2.5000000000000001E-2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22561202.203200113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1.0865830749515379E-2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" x14ac:dyDescent="0.35">
      <c r="A57" s="176" t="s">
        <v>88</v>
      </c>
      <c r="B57" s="247">
        <f>Uniformity!C46</f>
        <v>361.05450000000002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299" t="s">
        <v>94</v>
      </c>
      <c r="D60" s="302">
        <v>91.74</v>
      </c>
      <c r="E60" s="182">
        <v>1</v>
      </c>
      <c r="F60" s="183">
        <v>22513229</v>
      </c>
      <c r="G60" s="248">
        <f>IF(ISBLANK(F60),"-",(F60/$D$50*$D$47*$B$68)*($B$57/$D$60))</f>
        <v>196.3629652872045</v>
      </c>
      <c r="H60" s="266">
        <f t="shared" ref="H60:H71" si="0">IF(ISBLANK(F60),"-",(G60/$B$56)*100)</f>
        <v>98.181482643602251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300"/>
      <c r="D61" s="303"/>
      <c r="E61" s="184">
        <v>2</v>
      </c>
      <c r="F61" s="137">
        <v>22460820</v>
      </c>
      <c r="G61" s="249">
        <f>IF(ISBLANK(F61),"-",(F61/$D$50*$D$47*$B$68)*($B$57/$D$60))</f>
        <v>195.90584797863286</v>
      </c>
      <c r="H61" s="267">
        <f t="shared" si="0"/>
        <v>97.952923989316432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00"/>
      <c r="D62" s="303"/>
      <c r="E62" s="184">
        <v>3</v>
      </c>
      <c r="F62" s="185">
        <v>22362833</v>
      </c>
      <c r="G62" s="249">
        <f>IF(ISBLANK(F62),"-",(F62/$D$50*$D$47*$B$68)*($B$57/$D$60))</f>
        <v>195.05119412690871</v>
      </c>
      <c r="H62" s="267">
        <f t="shared" si="0"/>
        <v>97.525597063454356</v>
      </c>
      <c r="L62" s="112"/>
    </row>
    <row r="63" spans="1:12" ht="27" customHeight="1" x14ac:dyDescent="0.45">
      <c r="A63" s="124" t="s">
        <v>97</v>
      </c>
      <c r="B63" s="125">
        <v>1</v>
      </c>
      <c r="C63" s="301"/>
      <c r="D63" s="30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299" t="s">
        <v>99</v>
      </c>
      <c r="D64" s="302">
        <v>92.55</v>
      </c>
      <c r="E64" s="182">
        <v>1</v>
      </c>
      <c r="F64" s="183">
        <v>22607538</v>
      </c>
      <c r="G64" s="248">
        <f>IF(ISBLANK(F64),"-",(F64/$D$50*$D$47*$B$68)*($B$57/$D$64))</f>
        <v>195.4597662486245</v>
      </c>
      <c r="H64" s="266">
        <f t="shared" si="0"/>
        <v>97.729883124312252</v>
      </c>
    </row>
    <row r="65" spans="1:8" ht="26.25" customHeight="1" x14ac:dyDescent="0.45">
      <c r="A65" s="124" t="s">
        <v>100</v>
      </c>
      <c r="B65" s="125">
        <v>1</v>
      </c>
      <c r="C65" s="300"/>
      <c r="D65" s="303"/>
      <c r="E65" s="184">
        <v>2</v>
      </c>
      <c r="F65" s="137">
        <v>22641172</v>
      </c>
      <c r="G65" s="249">
        <f>IF(ISBLANK(F65),"-",(F65/$D$50*$D$47*$B$68)*($B$57/$D$64))</f>
        <v>195.75055836309562</v>
      </c>
      <c r="H65" s="267">
        <f t="shared" si="0"/>
        <v>97.87527918154781</v>
      </c>
    </row>
    <row r="66" spans="1:8" ht="26.25" customHeight="1" x14ac:dyDescent="0.45">
      <c r="A66" s="124" t="s">
        <v>101</v>
      </c>
      <c r="B66" s="125">
        <v>1</v>
      </c>
      <c r="C66" s="300"/>
      <c r="D66" s="303"/>
      <c r="E66" s="184">
        <v>3</v>
      </c>
      <c r="F66" s="137">
        <v>22608218</v>
      </c>
      <c r="G66" s="249">
        <f>IF(ISBLANK(F66),"-",(F66/$D$50*$D$47*$B$68)*($B$57/$D$64))</f>
        <v>195.4656453780126</v>
      </c>
      <c r="H66" s="267">
        <f t="shared" si="0"/>
        <v>97.732822689006298</v>
      </c>
    </row>
    <row r="67" spans="1:8" ht="27" customHeight="1" x14ac:dyDescent="0.45">
      <c r="A67" s="124" t="s">
        <v>102</v>
      </c>
      <c r="B67" s="125">
        <v>1</v>
      </c>
      <c r="C67" s="301"/>
      <c r="D67" s="30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2000</v>
      </c>
      <c r="C68" s="299" t="s">
        <v>104</v>
      </c>
      <c r="D68" s="302">
        <v>89.54</v>
      </c>
      <c r="E68" s="182">
        <v>1</v>
      </c>
      <c r="F68" s="183">
        <v>21851853</v>
      </c>
      <c r="G68" s="248">
        <f>IF(ISBLANK(F68),"-",(F68/$D$50*$D$47*$B$68)*($B$57/$D$68))</f>
        <v>195.27727626852553</v>
      </c>
      <c r="H68" s="267">
        <f t="shared" si="0"/>
        <v>97.638638134262763</v>
      </c>
    </row>
    <row r="69" spans="1:8" ht="27" customHeight="1" x14ac:dyDescent="0.5">
      <c r="A69" s="172" t="s">
        <v>105</v>
      </c>
      <c r="B69" s="189">
        <f>(D47*B68)/B56*B57</f>
        <v>90.263625000000005</v>
      </c>
      <c r="C69" s="300"/>
      <c r="D69" s="303"/>
      <c r="E69" s="184">
        <v>2</v>
      </c>
      <c r="F69" s="137">
        <v>21761319</v>
      </c>
      <c r="G69" s="249">
        <f>IF(ISBLANK(F69),"-",(F69/$D$50*$D$47*$B$68)*($B$57/$D$68))</f>
        <v>194.46822666848959</v>
      </c>
      <c r="H69" s="267">
        <f t="shared" si="0"/>
        <v>97.234113334244796</v>
      </c>
    </row>
    <row r="70" spans="1:8" ht="26.25" customHeight="1" x14ac:dyDescent="0.45">
      <c r="A70" s="329" t="s">
        <v>78</v>
      </c>
      <c r="B70" s="330"/>
      <c r="C70" s="300"/>
      <c r="D70" s="303"/>
      <c r="E70" s="184">
        <v>3</v>
      </c>
      <c r="F70" s="137">
        <v>21953368</v>
      </c>
      <c r="G70" s="249">
        <f>IF(ISBLANK(F70),"-",(F70/$D$50*$D$47*$B$68)*($B$57/$D$68))</f>
        <v>196.18445666647165</v>
      </c>
      <c r="H70" s="267">
        <f t="shared" si="0"/>
        <v>98.092228333235823</v>
      </c>
    </row>
    <row r="71" spans="1:8" ht="27" customHeight="1" x14ac:dyDescent="0.45">
      <c r="A71" s="331"/>
      <c r="B71" s="332"/>
      <c r="C71" s="328"/>
      <c r="D71" s="30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195.547326331774</v>
      </c>
      <c r="H72" s="269">
        <f>AVERAGE(H60:H71)</f>
        <v>97.773663165887001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2.9922105515865619E-3</v>
      </c>
      <c r="H73" s="253">
        <f>STDEV(H60:H71)/H72</f>
        <v>2.9922105515865619E-3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33" t="str">
        <f>B26</f>
        <v>Nevirapine</v>
      </c>
      <c r="D76" s="333"/>
      <c r="E76" s="198" t="s">
        <v>108</v>
      </c>
      <c r="F76" s="198"/>
      <c r="G76" s="285">
        <f>H72</f>
        <v>97.773663165887001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4" t="str">
        <f>B26</f>
        <v>Nevirapine</v>
      </c>
      <c r="C79" s="334"/>
    </row>
    <row r="80" spans="1:8" ht="26.25" customHeight="1" x14ac:dyDescent="0.45">
      <c r="A80" s="109" t="s">
        <v>48</v>
      </c>
      <c r="B80" s="334" t="str">
        <f>B27</f>
        <v>N1-6</v>
      </c>
      <c r="C80" s="334"/>
    </row>
    <row r="81" spans="1:12" ht="27" customHeight="1" x14ac:dyDescent="0.45">
      <c r="A81" s="109" t="s">
        <v>6</v>
      </c>
      <c r="B81" s="201">
        <f>B28</f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312" t="s">
        <v>50</v>
      </c>
      <c r="D82" s="313"/>
      <c r="E82" s="313"/>
      <c r="F82" s="313"/>
      <c r="G82" s="314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15" t="s">
        <v>111</v>
      </c>
      <c r="D84" s="316"/>
      <c r="E84" s="316"/>
      <c r="F84" s="316"/>
      <c r="G84" s="316"/>
      <c r="H84" s="317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15" t="s">
        <v>112</v>
      </c>
      <c r="D85" s="316"/>
      <c r="E85" s="316"/>
      <c r="F85" s="316"/>
      <c r="G85" s="316"/>
      <c r="H85" s="317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23" t="s">
        <v>60</v>
      </c>
      <c r="G89" s="325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>
        <v>14866496</v>
      </c>
      <c r="E91" s="133">
        <f>IF(ISBLANK(D91),"-",$D$101/$D$98*D91)</f>
        <v>9826828.5811698958</v>
      </c>
      <c r="F91" s="132">
        <v>12216140</v>
      </c>
      <c r="G91" s="134">
        <f>IF(ISBLANK(F91),"-",$D$101/$F$98*F91)</f>
        <v>9844057.76178056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14837301</v>
      </c>
      <c r="E92" s="138">
        <f>IF(ISBLANK(D92),"-",$D$101/$D$98*D92)</f>
        <v>9807530.5394237265</v>
      </c>
      <c r="F92" s="137">
        <v>12208234</v>
      </c>
      <c r="G92" s="139">
        <f>IF(ISBLANK(F92),"-",$D$101/$F$98*F92)</f>
        <v>9837686.9179080576</v>
      </c>
      <c r="I92" s="318">
        <f>ABS((F96/D96*D95)-F95)/D95</f>
        <v>2.7712868791039879E-3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14862949</v>
      </c>
      <c r="E93" s="138">
        <f>IF(ISBLANK(D93),"-",$D$101/$D$98*D93)</f>
        <v>9824483.9963412043</v>
      </c>
      <c r="F93" s="137">
        <v>12256553</v>
      </c>
      <c r="G93" s="139">
        <f>IF(ISBLANK(F93),"-",$D$101/$F$98*F93)</f>
        <v>9876623.5236600768</v>
      </c>
      <c r="I93" s="318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14855582</v>
      </c>
      <c r="E95" s="148">
        <f>AVERAGE(E91:E94)</f>
        <v>9819614.3723116089</v>
      </c>
      <c r="F95" s="211">
        <f>AVERAGE(F91:F94)</f>
        <v>12226975.666666666</v>
      </c>
      <c r="G95" s="212">
        <f>AVERAGE(G91:G94)</f>
        <v>9852789.4011162315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16.86</v>
      </c>
      <c r="E96" s="140"/>
      <c r="F96" s="152">
        <v>13.83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16.86</v>
      </c>
      <c r="E97" s="155"/>
      <c r="F97" s="154">
        <f>F96*$B$87</f>
        <v>13.83</v>
      </c>
    </row>
    <row r="98" spans="1:10" ht="19.5" customHeight="1" x14ac:dyDescent="0.35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16.809419999999999</v>
      </c>
      <c r="E98" s="158"/>
      <c r="F98" s="157">
        <f>F97*$B$83/100</f>
        <v>13.78851</v>
      </c>
    </row>
    <row r="99" spans="1:10" ht="19.5" customHeight="1" x14ac:dyDescent="0.35">
      <c r="A99" s="319" t="s">
        <v>78</v>
      </c>
      <c r="B99" s="326"/>
      <c r="C99" s="215" t="s">
        <v>116</v>
      </c>
      <c r="D99" s="219">
        <f>D98/$B$98</f>
        <v>1.6809419999999999E-2</v>
      </c>
      <c r="E99" s="158"/>
      <c r="F99" s="161">
        <f>F98/$B$98</f>
        <v>1.378851E-2</v>
      </c>
      <c r="G99" s="220"/>
      <c r="H99" s="150"/>
    </row>
    <row r="100" spans="1:10" ht="19.5" customHeight="1" x14ac:dyDescent="0.35">
      <c r="A100" s="321"/>
      <c r="B100" s="327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9836201.8867139202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2.3821117058282779E-3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5</v>
      </c>
      <c r="C108" s="275">
        <v>1</v>
      </c>
      <c r="D108" s="276">
        <v>10131105</v>
      </c>
      <c r="E108" s="250">
        <f t="shared" ref="E108:E113" si="1">IF(ISBLANK(D108),"-",D108/$D$103*$D$100*$B$116)</f>
        <v>205.99628020413886</v>
      </c>
      <c r="F108" s="277">
        <f t="shared" ref="F108:F113" si="2">IF(ISBLANK(D108), "-", (E108/$B$56)*100)</f>
        <v>102.99814010206943</v>
      </c>
    </row>
    <row r="109" spans="1:10" ht="26.25" customHeight="1" x14ac:dyDescent="0.45">
      <c r="A109" s="124" t="s">
        <v>95</v>
      </c>
      <c r="B109" s="125">
        <v>100</v>
      </c>
      <c r="C109" s="271">
        <v>2</v>
      </c>
      <c r="D109" s="273">
        <v>9772425</v>
      </c>
      <c r="E109" s="251">
        <f t="shared" si="1"/>
        <v>198.70322127486898</v>
      </c>
      <c r="F109" s="278">
        <f t="shared" si="2"/>
        <v>99.35161063743449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9704354</v>
      </c>
      <c r="E110" s="251">
        <f t="shared" si="1"/>
        <v>197.31913012293876</v>
      </c>
      <c r="F110" s="278">
        <f t="shared" si="2"/>
        <v>98.65956506146938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9262090</v>
      </c>
      <c r="E111" s="251">
        <f t="shared" si="1"/>
        <v>188.32655341307316</v>
      </c>
      <c r="F111" s="278">
        <f t="shared" si="2"/>
        <v>94.163276706536578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10292202</v>
      </c>
      <c r="E112" s="251">
        <f t="shared" si="1"/>
        <v>209.27187380938196</v>
      </c>
      <c r="F112" s="278">
        <f t="shared" si="2"/>
        <v>104.63593690469098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10252089</v>
      </c>
      <c r="E113" s="252">
        <f t="shared" si="1"/>
        <v>208.4562541126333</v>
      </c>
      <c r="F113" s="279">
        <f t="shared" si="2"/>
        <v>104.22812705631665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201.34555215617252</v>
      </c>
      <c r="F115" s="281">
        <f>AVERAGE(F108:F113)</f>
        <v>100.67277607808626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4.0208263341828643E-2</v>
      </c>
      <c r="F116" s="235">
        <f>STDEV(F108:F113)/F115</f>
        <v>4.0208263341828643E-2</v>
      </c>
      <c r="I116" s="98"/>
    </row>
    <row r="117" spans="1:10" ht="27" customHeight="1" x14ac:dyDescent="0.45">
      <c r="A117" s="319" t="s">
        <v>78</v>
      </c>
      <c r="B117" s="32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321"/>
      <c r="B118" s="322"/>
      <c r="C118" s="98"/>
      <c r="D118" s="260"/>
      <c r="E118" s="297" t="s">
        <v>123</v>
      </c>
      <c r="F118" s="298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188.32655341307316</v>
      </c>
      <c r="F119" s="282">
        <f>MIN(F108:F113)</f>
        <v>94.163276706536578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209.27187380938196</v>
      </c>
      <c r="F120" s="283">
        <f>MAX(F108:F113)</f>
        <v>104.63593690469098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33" t="str">
        <f>B26</f>
        <v>Nevirapine</v>
      </c>
      <c r="D124" s="333"/>
      <c r="E124" s="198" t="s">
        <v>127</v>
      </c>
      <c r="F124" s="198"/>
      <c r="G124" s="284">
        <f>F115</f>
        <v>100.67277607808626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94.163276706536578</v>
      </c>
      <c r="E125" s="209" t="s">
        <v>130</v>
      </c>
      <c r="F125" s="284">
        <f>MAX(F108:F113)</f>
        <v>104.63593690469098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337" t="s">
        <v>26</v>
      </c>
      <c r="C127" s="337"/>
      <c r="E127" s="204" t="s">
        <v>27</v>
      </c>
      <c r="F127" s="239"/>
      <c r="G127" s="337" t="s">
        <v>28</v>
      </c>
      <c r="H127" s="337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2017-09-28T11:48:29Z</cp:lastPrinted>
  <dcterms:created xsi:type="dcterms:W3CDTF">2005-07-05T10:19:27Z</dcterms:created>
  <dcterms:modified xsi:type="dcterms:W3CDTF">2017-10-30T11:48:33Z</dcterms:modified>
</cp:coreProperties>
</file>