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28" windowWidth="20772" windowHeight="11448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/>
  <c r="B98" i="3"/>
  <c r="F95" i="3"/>
  <c r="D95" i="3"/>
  <c r="I92" i="3"/>
  <c r="B87" i="3"/>
  <c r="D97" i="3"/>
  <c r="D98" i="3"/>
  <c r="E92" i="3"/>
  <c r="B83" i="3"/>
  <c r="B81" i="3"/>
  <c r="B80" i="3"/>
  <c r="B79" i="3"/>
  <c r="C76" i="3"/>
  <c r="B68" i="3"/>
  <c r="C56" i="3"/>
  <c r="B55" i="3"/>
  <c r="B45" i="3"/>
  <c r="D48" i="3"/>
  <c r="D49" i="3"/>
  <c r="D44" i="3"/>
  <c r="F42" i="3"/>
  <c r="D42" i="3"/>
  <c r="I39" i="3"/>
  <c r="B34" i="3"/>
  <c r="F44" i="3"/>
  <c r="B30" i="3"/>
  <c r="D50" i="2"/>
  <c r="B49" i="2"/>
  <c r="C46" i="2"/>
  <c r="B57" i="3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D101" i="3"/>
  <c r="D102" i="3"/>
  <c r="F97" i="3"/>
  <c r="F45" i="3"/>
  <c r="F46" i="3"/>
  <c r="G38" i="3"/>
  <c r="F98" i="3"/>
  <c r="F99" i="3"/>
  <c r="G93" i="3"/>
  <c r="D45" i="3"/>
  <c r="E41" i="3"/>
  <c r="D46" i="3"/>
  <c r="B69" i="3"/>
  <c r="C50" i="2"/>
  <c r="G41" i="3"/>
  <c r="D27" i="2"/>
  <c r="D43" i="2"/>
  <c r="G40" i="3"/>
  <c r="E94" i="3"/>
  <c r="D31" i="2"/>
  <c r="D35" i="2"/>
  <c r="D39" i="2"/>
  <c r="C49" i="2"/>
  <c r="D24" i="2"/>
  <c r="D28" i="2"/>
  <c r="D32" i="2"/>
  <c r="D36" i="2"/>
  <c r="D40" i="2"/>
  <c r="D49" i="2"/>
  <c r="G39" i="3"/>
  <c r="E40" i="3"/>
  <c r="E39" i="3"/>
  <c r="E38" i="3"/>
  <c r="G94" i="3"/>
  <c r="G42" i="3"/>
  <c r="G91" i="3"/>
  <c r="D50" i="3"/>
  <c r="G67" i="3"/>
  <c r="H67" i="3"/>
  <c r="D52" i="3"/>
  <c r="E42" i="3"/>
  <c r="D51" i="3"/>
  <c r="G70" i="3"/>
  <c r="H70" i="3"/>
  <c r="G65" i="3"/>
  <c r="H65" i="3"/>
  <c r="G60" i="3"/>
  <c r="H60" i="3"/>
  <c r="G66" i="3"/>
  <c r="H66" i="3"/>
  <c r="G69" i="3"/>
  <c r="H69" i="3"/>
  <c r="G61" i="3"/>
  <c r="H61" i="3"/>
  <c r="G62" i="3"/>
  <c r="H62" i="3"/>
  <c r="G71" i="3"/>
  <c r="H71" i="3"/>
  <c r="G63" i="3"/>
  <c r="H63" i="3"/>
  <c r="G64" i="3"/>
  <c r="H64" i="3"/>
  <c r="G68" i="3"/>
  <c r="H68" i="3"/>
  <c r="G74" i="3"/>
  <c r="G72" i="3"/>
  <c r="G73" i="3"/>
  <c r="H74" i="3"/>
  <c r="H72" i="3"/>
  <c r="G76" i="3"/>
  <c r="H73" i="3"/>
  <c r="G92" i="3"/>
  <c r="G95" i="3"/>
  <c r="E91" i="3"/>
  <c r="D105" i="3"/>
  <c r="D99" i="3"/>
  <c r="E93" i="3"/>
  <c r="D103" i="3"/>
  <c r="E95" i="3"/>
  <c r="E109" i="3"/>
  <c r="F109" i="3"/>
  <c r="E108" i="3"/>
  <c r="E111" i="3"/>
  <c r="F111" i="3"/>
  <c r="E113" i="3"/>
  <c r="F113" i="3"/>
  <c r="E110" i="3"/>
  <c r="F110" i="3"/>
  <c r="E112" i="3"/>
  <c r="F112" i="3"/>
  <c r="D104" i="3"/>
  <c r="E119" i="3"/>
  <c r="E115" i="3"/>
  <c r="E116" i="3"/>
  <c r="F108" i="3"/>
  <c r="E120" i="3"/>
  <c r="E117" i="3"/>
  <c r="D125" i="3"/>
  <c r="F125" i="3"/>
  <c r="F120" i="3"/>
  <c r="F115" i="3"/>
  <c r="F119" i="3"/>
  <c r="F117" i="3"/>
  <c r="G124" i="3"/>
  <c r="F116" i="3"/>
</calcChain>
</file>

<file path=xl/sharedStrings.xml><?xml version="1.0" encoding="utf-8"?>
<sst xmlns="http://schemas.openxmlformats.org/spreadsheetml/2006/main" count="242" uniqueCount="135">
  <si>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</si>
  <si>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</si>
  <si>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</si>
  <si>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</si>
  <si>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</si>
  <si>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</si>
  <si>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</si>
  <si>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NDQB201707019</t>
  </si>
  <si>
    <t>Weight (mg):</t>
  </si>
  <si>
    <t>Nevirapine USP</t>
  </si>
  <si>
    <t>Standard Conc (mg/mL):</t>
  </si>
  <si>
    <t>Each tablet contains: 200 mg of Nevirapine USP.</t>
  </si>
  <si>
    <t>2017-07-19 09:11:58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</si>
  <si>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</si>
  <si>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</si>
  <si>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</si>
  <si>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</si>
  <si>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</si>
  <si>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</si>
  <si>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</si>
  <si>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</si>
  <si>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</si>
  <si>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</si>
  <si>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</si>
  <si>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</si>
  <si>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</si>
  <si>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</si>
  <si>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</si>
  <si>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</si>
  <si>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</si>
  <si>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</si>
  <si>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</si>
  <si>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</si>
  <si>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</si>
  <si>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</si>
  <si>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</si>
  <si>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</si>
  <si>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</si>
  <si>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</si>
  <si>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</si>
  <si>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</si>
  <si>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</si>
  <si>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</si>
  <si>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</si>
  <si>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</si>
  <si>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</si>
  <si>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</si>
  <si>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</si>
  <si>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</si>
  <si>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</si>
  <si>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</si>
  <si>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</si>
  <si>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</si>
  <si>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</si>
  <si>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</si>
  <si>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</si>
  <si>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</si>
  <si>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</si>
  <si>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</si>
  <si>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</si>
  <si>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</si>
  <si>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</si>
  <si>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</si>
  <si>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</si>
  <si>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</si>
  <si>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</si>
  <si>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</si>
  <si>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</si>
  <si>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</si>
  <si>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</si>
  <si>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</si>
  <si>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</si>
  <si>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</si>
  <si>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</si>
  <si>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</si>
  <si>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</si>
  <si>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</si>
  <si>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</si>
  <si>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</si>
  <si>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</si>
  <si>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</si>
  <si>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</si>
  <si>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</si>
  <si>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</si>
  <si>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</si>
  <si>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</si>
  <si>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</si>
  <si>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</si>
  <si>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</si>
  <si>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</si>
  <si>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</si>
  <si>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</si>
  <si>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</si>
  <si>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</si>
  <si>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</si>
  <si>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</si>
  <si>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</si>
  <si>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</si>
  <si>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</si>
  <si>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</si>
  <si>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</si>
  <si>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</si>
  <si>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</si>
  <si>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</si>
  <si>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</si>
  <si>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</si>
  <si>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</si>
  <si>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</si>
  <si>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</si>
  <si>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</si>
  <si>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</si>
  <si>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</si>
  <si>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</si>
  <si>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</si>
  <si>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</si>
  <si>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</si>
  <si>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</si>
  <si>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</si>
  <si>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</si>
  <si>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</si>
  <si>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</si>
  <si>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</si>
  <si>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</si>
  <si>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</si>
  <si>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</si>
  <si>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</si>
  <si>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</si>
  <si>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</si>
  <si>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</si>
  <si>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</si>
  <si>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</si>
  <si>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</si>
  <si>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DR.</t>
  </si>
  <si>
    <t>PETER NGUMO</t>
  </si>
  <si>
    <t>N1-6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</si>
</sst>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7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8" fontId="16" fillId="2" borderId="0" xfId="0" applyNumberFormat="1" applyFont="1" applyFill="1" applyAlignment="1" applyProtection="1">
      <alignment horizontal="center"/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0" fontId="15" fillId="2" borderId="26" xfId="0" applyFont="1" applyFill="1" applyBorder="1" applyAlignment="1" applyProtection="1">
      <alignment horizontal="center"/>
      <protection locked="0"/>
    </xf>
    <xf numFmtId="171" fontId="13" fillId="0" borderId="23" xfId="0" applyNumberFormat="1" applyFont="1" applyFill="1" applyBorder="1" applyAlignment="1">
      <alignment horizontal="center"/>
    </xf>
    <xf numFmtId="171" fontId="13" fillId="0" borderId="27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8" xfId="0" applyNumberFormat="1" applyFont="1" applyFill="1" applyBorder="1" applyAlignment="1">
      <alignment horizontal="center"/>
    </xf>
    <xf numFmtId="171" fontId="13" fillId="0" borderId="29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30" xfId="0" applyFont="1" applyFill="1" applyBorder="1" applyAlignment="1">
      <alignment horizontal="center"/>
    </xf>
    <xf numFmtId="0" fontId="15" fillId="2" borderId="31" xfId="0" applyFont="1" applyFill="1" applyBorder="1" applyAlignment="1" applyProtection="1">
      <alignment horizontal="center"/>
      <protection locked="0"/>
    </xf>
    <xf numFmtId="171" fontId="13" fillId="0" borderId="32" xfId="0" applyNumberFormat="1" applyFont="1" applyFill="1" applyBorder="1" applyAlignment="1">
      <alignment horizontal="center"/>
    </xf>
    <xf numFmtId="171" fontId="13" fillId="0" borderId="33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171" fontId="14" fillId="5" borderId="3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7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8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8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8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9" xfId="0" applyFont="1" applyFill="1" applyBorder="1" applyAlignment="1">
      <alignment horizontal="right"/>
    </xf>
    <xf numFmtId="166" fontId="15" fillId="2" borderId="38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26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8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8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1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7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8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30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30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6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4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4" fillId="0" borderId="10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9" workbookViewId="0">
      <selection activeCell="A15" sqref="A15:E15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2.5000000000000001E-2</v>
      </c>
      <c r="C21" s="10"/>
      <c r="D21" s="10"/>
      <c r="E21" s="10"/>
    </row>
    <row r="22" spans="1:6" ht="15.75" customHeight="1" x14ac:dyDescent="0.3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25">
        <f>AVERAGE(C24:C29)</f>
        <v>7300.7166666666662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14.19</v>
      </c>
      <c r="C41" s="10"/>
      <c r="D41" s="10"/>
      <c r="E41" s="10"/>
    </row>
    <row r="42" spans="1:6" ht="16.5" customHeight="1" x14ac:dyDescent="0.3">
      <c r="A42" s="7" t="s">
        <v>10</v>
      </c>
      <c r="B42" s="13">
        <v>1.4E-2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12977082</v>
      </c>
      <c r="C45" s="18">
        <v>10502.6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12888042</v>
      </c>
      <c r="C46" s="18">
        <v>10507</v>
      </c>
      <c r="D46" s="19">
        <v>1.2</v>
      </c>
      <c r="E46" s="19">
        <v>9.1999999999999993</v>
      </c>
    </row>
    <row r="47" spans="1:6" ht="16.5" customHeight="1" x14ac:dyDescent="0.3">
      <c r="A47" s="17">
        <v>3</v>
      </c>
      <c r="B47" s="18">
        <v>12955040</v>
      </c>
      <c r="C47" s="18">
        <v>10418.799999999999</v>
      </c>
      <c r="D47" s="19">
        <v>1.2</v>
      </c>
      <c r="E47" s="19">
        <v>9.1999999999999993</v>
      </c>
    </row>
    <row r="48" spans="1:6" ht="16.5" customHeight="1" x14ac:dyDescent="0.3">
      <c r="A48" s="17">
        <v>4</v>
      </c>
      <c r="B48" s="18">
        <v>12953175</v>
      </c>
      <c r="C48" s="18">
        <v>10484</v>
      </c>
      <c r="D48" s="19">
        <v>1.2</v>
      </c>
      <c r="E48" s="19">
        <v>9.1999999999999993</v>
      </c>
    </row>
    <row r="49" spans="1:7" ht="16.5" customHeight="1" x14ac:dyDescent="0.3">
      <c r="A49" s="17">
        <v>5</v>
      </c>
      <c r="B49" s="18">
        <v>12980609</v>
      </c>
      <c r="C49" s="18">
        <v>10404.1</v>
      </c>
      <c r="D49" s="19">
        <v>1.2</v>
      </c>
      <c r="E49" s="19">
        <v>9.1999999999999993</v>
      </c>
    </row>
    <row r="50" spans="1:7" ht="16.5" customHeight="1" x14ac:dyDescent="0.3">
      <c r="A50" s="17">
        <v>6</v>
      </c>
      <c r="B50" s="21">
        <v>12989662</v>
      </c>
      <c r="C50" s="21">
        <v>10462.799999999999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12957268.333333334</v>
      </c>
      <c r="C51" s="25">
        <f>AVERAGE(C45:C50)</f>
        <v>10463.216666666665</v>
      </c>
      <c r="D51" s="26">
        <f>AVERAGE(D45:D50)</f>
        <v>1.1666666666666667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2.8462897861143083E-3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 t="s">
        <v>133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B53" sqref="B53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88" t="s">
        <v>31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807.15</v>
      </c>
      <c r="D24" s="87">
        <f t="shared" ref="D24:D43" si="0">(C24-$C$46)/$C$46</f>
        <v>3.9959573971858403E-3</v>
      </c>
      <c r="E24" s="53"/>
    </row>
    <row r="25" spans="1:5" ht="15.75" customHeight="1" x14ac:dyDescent="0.3">
      <c r="C25" s="95">
        <v>796.71</v>
      </c>
      <c r="D25" s="88">
        <f t="shared" si="0"/>
        <v>-8.9901267200495696E-3</v>
      </c>
      <c r="E25" s="53"/>
    </row>
    <row r="26" spans="1:5" ht="15.75" customHeight="1" x14ac:dyDescent="0.3">
      <c r="C26" s="95">
        <v>806.5</v>
      </c>
      <c r="D26" s="88">
        <f t="shared" si="0"/>
        <v>3.1874368343311689E-3</v>
      </c>
      <c r="E26" s="53"/>
    </row>
    <row r="27" spans="1:5" ht="15.75" customHeight="1" x14ac:dyDescent="0.3">
      <c r="C27" s="95">
        <v>796.15</v>
      </c>
      <c r="D27" s="88">
        <f t="shared" si="0"/>
        <v>-9.6866982818936929E-3</v>
      </c>
      <c r="E27" s="53"/>
    </row>
    <row r="28" spans="1:5" ht="15.75" customHeight="1" x14ac:dyDescent="0.3">
      <c r="C28" s="95">
        <v>797.66</v>
      </c>
      <c r="D28" s="88">
        <f t="shared" si="0"/>
        <v>-7.8084428204927862E-3</v>
      </c>
      <c r="E28" s="53"/>
    </row>
    <row r="29" spans="1:5" ht="15.75" customHeight="1" x14ac:dyDescent="0.3">
      <c r="C29" s="95">
        <v>805.24</v>
      </c>
      <c r="D29" s="88">
        <f t="shared" si="0"/>
        <v>1.6201508201820702E-3</v>
      </c>
      <c r="E29" s="53"/>
    </row>
    <row r="30" spans="1:5" ht="15.75" customHeight="1" x14ac:dyDescent="0.3">
      <c r="C30" s="95">
        <v>817.17</v>
      </c>
      <c r="D30" s="88">
        <f t="shared" si="0"/>
        <v>1.6459612843038263E-2</v>
      </c>
      <c r="E30" s="53"/>
    </row>
    <row r="31" spans="1:5" ht="15.75" customHeight="1" x14ac:dyDescent="0.3">
      <c r="C31" s="95">
        <v>815.61</v>
      </c>
      <c r="D31" s="88">
        <f t="shared" si="0"/>
        <v>1.4519163492187053E-2</v>
      </c>
      <c r="E31" s="53"/>
    </row>
    <row r="32" spans="1:5" ht="15.75" customHeight="1" x14ac:dyDescent="0.3">
      <c r="C32" s="95">
        <v>804.52</v>
      </c>
      <c r="D32" s="88">
        <f t="shared" si="0"/>
        <v>7.2455881209683036E-4</v>
      </c>
      <c r="E32" s="53"/>
    </row>
    <row r="33" spans="1:7" ht="15.75" customHeight="1" x14ac:dyDescent="0.3">
      <c r="C33" s="95">
        <v>808.21</v>
      </c>
      <c r="D33" s="88">
        <f t="shared" si="0"/>
        <v>5.3144678535335778E-3</v>
      </c>
      <c r="E33" s="53"/>
    </row>
    <row r="34" spans="1:7" ht="15.75" customHeight="1" x14ac:dyDescent="0.3">
      <c r="C34" s="95">
        <v>801.02</v>
      </c>
      <c r="D34" s="88">
        <f t="shared" si="0"/>
        <v>-3.6290134494284753E-3</v>
      </c>
      <c r="E34" s="53"/>
    </row>
    <row r="35" spans="1:7" ht="15.75" customHeight="1" x14ac:dyDescent="0.3">
      <c r="C35" s="95">
        <v>813.87</v>
      </c>
      <c r="D35" s="88">
        <f t="shared" si="0"/>
        <v>1.235481613931446E-2</v>
      </c>
      <c r="E35" s="53"/>
    </row>
    <row r="36" spans="1:7" ht="15.75" customHeight="1" x14ac:dyDescent="0.3">
      <c r="C36" s="95">
        <v>790.5</v>
      </c>
      <c r="D36" s="88">
        <f t="shared" si="0"/>
        <v>-1.6714607789784515E-2</v>
      </c>
      <c r="E36" s="53"/>
    </row>
    <row r="37" spans="1:7" ht="15.75" customHeight="1" x14ac:dyDescent="0.3">
      <c r="C37" s="95">
        <v>802.54</v>
      </c>
      <c r="D37" s="88">
        <f t="shared" si="0"/>
        <v>-1.738319210137508E-3</v>
      </c>
      <c r="E37" s="53"/>
    </row>
    <row r="38" spans="1:7" ht="15.75" customHeight="1" x14ac:dyDescent="0.3">
      <c r="C38" s="95">
        <v>801.55</v>
      </c>
      <c r="D38" s="88">
        <f t="shared" si="0"/>
        <v>-2.9697582212546772E-3</v>
      </c>
      <c r="E38" s="53"/>
    </row>
    <row r="39" spans="1:7" ht="15.75" customHeight="1" x14ac:dyDescent="0.3">
      <c r="C39" s="95">
        <v>796.65</v>
      </c>
      <c r="D39" s="88">
        <f t="shared" si="0"/>
        <v>-9.064759387390077E-3</v>
      </c>
      <c r="E39" s="53"/>
    </row>
    <row r="40" spans="1:7" ht="15.75" customHeight="1" x14ac:dyDescent="0.3">
      <c r="C40" s="95">
        <v>804.17</v>
      </c>
      <c r="D40" s="88">
        <f t="shared" si="0"/>
        <v>2.8920158594427151E-4</v>
      </c>
      <c r="E40" s="53"/>
    </row>
    <row r="41" spans="1:7" ht="15.75" customHeight="1" x14ac:dyDescent="0.3">
      <c r="C41" s="95">
        <v>821.64</v>
      </c>
      <c r="D41" s="88">
        <f t="shared" si="0"/>
        <v>2.2019746559900619E-2</v>
      </c>
      <c r="E41" s="53"/>
    </row>
    <row r="42" spans="1:7" ht="15.75" customHeight="1" x14ac:dyDescent="0.3">
      <c r="C42" s="95">
        <v>798.2</v>
      </c>
      <c r="D42" s="88">
        <f t="shared" si="0"/>
        <v>-7.1367488144287857E-3</v>
      </c>
      <c r="E42" s="53"/>
    </row>
    <row r="43" spans="1:7" ht="16.5" customHeight="1" x14ac:dyDescent="0.3">
      <c r="C43" s="96">
        <v>793.69</v>
      </c>
      <c r="D43" s="89">
        <f t="shared" si="0"/>
        <v>-1.2746637642851383E-2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16078.749999999998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803.93749999999989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4">
        <f>C46</f>
        <v>803.93749999999989</v>
      </c>
      <c r="C49" s="93">
        <f>-IF(C46&lt;=80,10%,IF(C46&lt;250,7.5%,5%))</f>
        <v>-0.05</v>
      </c>
      <c r="D49" s="81">
        <f>IF(C46&lt;=80,C46*0.9,IF(C46&lt;250,C46*0.925,C46*0.95))</f>
        <v>763.74062499999991</v>
      </c>
    </row>
    <row r="50" spans="1:6" ht="17.25" customHeight="1" x14ac:dyDescent="0.3">
      <c r="B50" s="295"/>
      <c r="C50" s="94">
        <f>IF(C46&lt;=80, 10%, IF(C46&lt;250, 7.5%, 5%))</f>
        <v>0.05</v>
      </c>
      <c r="D50" s="81">
        <f>IF(C46&lt;=80, C46*1.1, IF(C46&lt;250, C46*1.075, C46*1.05))</f>
        <v>844.13437499999986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7" zoomScale="41" zoomScaleNormal="40" zoomScalePageLayoutView="41" workbookViewId="0">
      <selection activeCell="J100" sqref="J10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334" t="s">
        <v>45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 x14ac:dyDescent="0.3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 x14ac:dyDescent="0.3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 x14ac:dyDescent="0.3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 x14ac:dyDescent="0.3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 x14ac:dyDescent="0.3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 x14ac:dyDescent="0.3">
      <c r="A7" s="334"/>
      <c r="B7" s="334"/>
      <c r="C7" s="334"/>
      <c r="D7" s="334"/>
      <c r="E7" s="334"/>
      <c r="F7" s="334"/>
      <c r="G7" s="334"/>
      <c r="H7" s="334"/>
      <c r="I7" s="334"/>
    </row>
    <row r="8" spans="1:9" x14ac:dyDescent="0.3">
      <c r="A8" s="335" t="s">
        <v>46</v>
      </c>
      <c r="B8" s="335"/>
      <c r="C8" s="335"/>
      <c r="D8" s="335"/>
      <c r="E8" s="335"/>
      <c r="F8" s="335"/>
      <c r="G8" s="335"/>
      <c r="H8" s="335"/>
      <c r="I8" s="335"/>
    </row>
    <row r="9" spans="1:9" x14ac:dyDescent="0.3">
      <c r="A9" s="335"/>
      <c r="B9" s="335"/>
      <c r="C9" s="335"/>
      <c r="D9" s="335"/>
      <c r="E9" s="335"/>
      <c r="F9" s="335"/>
      <c r="G9" s="335"/>
      <c r="H9" s="335"/>
      <c r="I9" s="335"/>
    </row>
    <row r="10" spans="1:9" x14ac:dyDescent="0.3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 x14ac:dyDescent="0.3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 x14ac:dyDescent="0.3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 x14ac:dyDescent="0.3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 x14ac:dyDescent="0.3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 x14ac:dyDescent="0.35">
      <c r="A15" s="98"/>
    </row>
    <row r="16" spans="1:9" ht="19.5" customHeight="1" x14ac:dyDescent="0.35">
      <c r="A16" s="305" t="s">
        <v>31</v>
      </c>
      <c r="B16" s="306"/>
      <c r="C16" s="306"/>
      <c r="D16" s="306"/>
      <c r="E16" s="306"/>
      <c r="F16" s="306"/>
      <c r="G16" s="306"/>
      <c r="H16" s="307"/>
    </row>
    <row r="17" spans="1:14" ht="20.25" customHeight="1" x14ac:dyDescent="0.3">
      <c r="A17" s="308" t="s">
        <v>47</v>
      </c>
      <c r="B17" s="308"/>
      <c r="C17" s="308"/>
      <c r="D17" s="308"/>
      <c r="E17" s="308"/>
      <c r="F17" s="308"/>
      <c r="G17" s="308"/>
      <c r="H17" s="308"/>
    </row>
    <row r="18" spans="1:14" ht="26.25" customHeight="1" x14ac:dyDescent="0.5">
      <c r="A18" s="100" t="s">
        <v>33</v>
      </c>
      <c r="B18" s="304" t="s">
        <v>5</v>
      </c>
      <c r="C18" s="304"/>
      <c r="D18" s="246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09" t="s">
        <v>9</v>
      </c>
      <c r="C20" s="309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09" t="s">
        <v>11</v>
      </c>
      <c r="C21" s="309"/>
      <c r="D21" s="309"/>
      <c r="E21" s="309"/>
      <c r="F21" s="309"/>
      <c r="G21" s="309"/>
      <c r="H21" s="309"/>
      <c r="I21" s="104"/>
    </row>
    <row r="22" spans="1:14" ht="26.25" customHeight="1" x14ac:dyDescent="0.5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304" t="s">
        <v>131</v>
      </c>
      <c r="C26" s="304"/>
    </row>
    <row r="27" spans="1:14" ht="26.25" customHeight="1" x14ac:dyDescent="0.5">
      <c r="A27" s="109" t="s">
        <v>48</v>
      </c>
      <c r="B27" s="310" t="s">
        <v>134</v>
      </c>
      <c r="C27" s="310"/>
    </row>
    <row r="28" spans="1:14" ht="27" customHeight="1" x14ac:dyDescent="0.45">
      <c r="A28" s="109" t="s">
        <v>6</v>
      </c>
      <c r="B28" s="110">
        <v>99.7</v>
      </c>
    </row>
    <row r="29" spans="1:14" s="14" customFormat="1" ht="27" customHeight="1" x14ac:dyDescent="0.5">
      <c r="A29" s="109" t="s">
        <v>49</v>
      </c>
      <c r="B29" s="111">
        <v>0</v>
      </c>
      <c r="C29" s="311" t="s">
        <v>50</v>
      </c>
      <c r="D29" s="312"/>
      <c r="E29" s="312"/>
      <c r="F29" s="312"/>
      <c r="G29" s="313"/>
      <c r="I29" s="112"/>
      <c r="J29" s="112"/>
      <c r="K29" s="112"/>
      <c r="L29" s="112"/>
    </row>
    <row r="30" spans="1:14" s="14" customFormat="1" ht="19.5" customHeight="1" x14ac:dyDescent="0.35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52</v>
      </c>
      <c r="B31" s="116">
        <v>1</v>
      </c>
      <c r="C31" s="314" t="s">
        <v>53</v>
      </c>
      <c r="D31" s="315"/>
      <c r="E31" s="315"/>
      <c r="F31" s="315"/>
      <c r="G31" s="315"/>
      <c r="H31" s="316"/>
      <c r="I31" s="112"/>
      <c r="J31" s="112"/>
      <c r="K31" s="112"/>
      <c r="L31" s="112"/>
    </row>
    <row r="32" spans="1:14" s="14" customFormat="1" ht="27" customHeight="1" x14ac:dyDescent="0.45">
      <c r="A32" s="109" t="s">
        <v>54</v>
      </c>
      <c r="B32" s="116">
        <v>1</v>
      </c>
      <c r="C32" s="314" t="s">
        <v>55</v>
      </c>
      <c r="D32" s="315"/>
      <c r="E32" s="315"/>
      <c r="F32" s="315"/>
      <c r="G32" s="315"/>
      <c r="H32" s="316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58</v>
      </c>
      <c r="B36" s="123">
        <v>100</v>
      </c>
      <c r="C36" s="99"/>
      <c r="D36" s="322" t="s">
        <v>59</v>
      </c>
      <c r="E36" s="323"/>
      <c r="F36" s="322" t="s">
        <v>60</v>
      </c>
      <c r="G36" s="324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66</v>
      </c>
      <c r="B38" s="125">
        <v>20</v>
      </c>
      <c r="C38" s="131">
        <v>1</v>
      </c>
      <c r="D38" s="132">
        <v>22517040</v>
      </c>
      <c r="E38" s="133">
        <f>IF(ISBLANK(D38),"-",$D$48/$D$45*D38)</f>
        <v>22272972.764447186</v>
      </c>
      <c r="F38" s="132">
        <v>22656630</v>
      </c>
      <c r="G38" s="134">
        <f>IF(ISBLANK(F38),"-",$D$48/$F$45*F38)</f>
        <v>22733897.972428694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67</v>
      </c>
      <c r="B39" s="125">
        <v>1</v>
      </c>
      <c r="C39" s="136">
        <v>2</v>
      </c>
      <c r="D39" s="137">
        <v>22625148</v>
      </c>
      <c r="E39" s="138">
        <f>IF(ISBLANK(D39),"-",$D$48/$D$45*D39)</f>
        <v>22379908.957642157</v>
      </c>
      <c r="F39" s="137">
        <v>22730686</v>
      </c>
      <c r="G39" s="139">
        <f>IF(ISBLANK(F39),"-",$D$48/$F$45*F39)</f>
        <v>22808206.532362197</v>
      </c>
      <c r="I39" s="317">
        <f>ABS((F43/D43*D42)-F42)/D42</f>
        <v>1.940379822697133E-2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68</v>
      </c>
      <c r="B40" s="125">
        <v>1</v>
      </c>
      <c r="C40" s="136">
        <v>3</v>
      </c>
      <c r="D40" s="137">
        <v>22616240</v>
      </c>
      <c r="E40" s="138">
        <f>IF(ISBLANK(D40),"-",$D$48/$D$45*D40)</f>
        <v>22371097.513447639</v>
      </c>
      <c r="F40" s="137">
        <v>22723633</v>
      </c>
      <c r="G40" s="139">
        <f>IF(ISBLANK(F40),"-",$D$48/$F$45*F40)</f>
        <v>22801129.478872798</v>
      </c>
      <c r="I40" s="317"/>
      <c r="L40" s="117"/>
      <c r="M40" s="117"/>
      <c r="N40" s="140"/>
    </row>
    <row r="41" spans="1:14" ht="27" customHeight="1" x14ac:dyDescent="0.45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70</v>
      </c>
      <c r="B42" s="125">
        <v>1</v>
      </c>
      <c r="C42" s="146" t="s">
        <v>71</v>
      </c>
      <c r="D42" s="147">
        <f>AVERAGE(D38:D41)</f>
        <v>22586142.666666668</v>
      </c>
      <c r="E42" s="148">
        <f>AVERAGE(E38:E41)</f>
        <v>22341326.411845658</v>
      </c>
      <c r="F42" s="147">
        <f>AVERAGE(F38:F41)</f>
        <v>22703649.666666668</v>
      </c>
      <c r="G42" s="149">
        <f>AVERAGE(G38:G41)</f>
        <v>22781077.994554561</v>
      </c>
      <c r="H42" s="150"/>
    </row>
    <row r="43" spans="1:14" ht="26.25" customHeight="1" x14ac:dyDescent="0.45">
      <c r="A43" s="124" t="s">
        <v>72</v>
      </c>
      <c r="B43" s="125">
        <v>1</v>
      </c>
      <c r="C43" s="151" t="s">
        <v>73</v>
      </c>
      <c r="D43" s="152">
        <v>25.35</v>
      </c>
      <c r="E43" s="140"/>
      <c r="F43" s="152">
        <v>24.99</v>
      </c>
      <c r="H43" s="150"/>
    </row>
    <row r="44" spans="1:14" ht="26.25" customHeight="1" x14ac:dyDescent="0.45">
      <c r="A44" s="124" t="s">
        <v>74</v>
      </c>
      <c r="B44" s="125">
        <v>1</v>
      </c>
      <c r="C44" s="153" t="s">
        <v>75</v>
      </c>
      <c r="D44" s="154">
        <f>D43*$B$34</f>
        <v>25.35</v>
      </c>
      <c r="E44" s="155"/>
      <c r="F44" s="154">
        <f>F43*$B$34</f>
        <v>24.99</v>
      </c>
      <c r="H44" s="150"/>
    </row>
    <row r="45" spans="1:14" ht="19.5" customHeight="1" x14ac:dyDescent="0.35">
      <c r="A45" s="124" t="s">
        <v>76</v>
      </c>
      <c r="B45" s="156">
        <f>(B44/B43)*(B42/B41)*(B40/B39)*(B38/B37)*B36</f>
        <v>1000</v>
      </c>
      <c r="C45" s="153" t="s">
        <v>77</v>
      </c>
      <c r="D45" s="157">
        <f>D44*$B$30/100</f>
        <v>25.273950000000003</v>
      </c>
      <c r="E45" s="158"/>
      <c r="F45" s="157">
        <f>F44*$B$30/100</f>
        <v>24.915029999999998</v>
      </c>
      <c r="H45" s="150"/>
    </row>
    <row r="46" spans="1:14" ht="19.5" customHeight="1" x14ac:dyDescent="0.35">
      <c r="A46" s="318" t="s">
        <v>78</v>
      </c>
      <c r="B46" s="319"/>
      <c r="C46" s="153" t="s">
        <v>79</v>
      </c>
      <c r="D46" s="159">
        <f>D45/$B$45</f>
        <v>2.5273950000000003E-2</v>
      </c>
      <c r="E46" s="160"/>
      <c r="F46" s="161">
        <f>F45/$B$45</f>
        <v>2.4915029999999998E-2</v>
      </c>
      <c r="H46" s="150"/>
    </row>
    <row r="47" spans="1:14" ht="27" customHeight="1" x14ac:dyDescent="0.45">
      <c r="A47" s="320"/>
      <c r="B47" s="321"/>
      <c r="C47" s="162" t="s">
        <v>80</v>
      </c>
      <c r="D47" s="163">
        <v>2.5000000000000001E-2</v>
      </c>
      <c r="E47" s="164"/>
      <c r="F47" s="160"/>
      <c r="H47" s="150"/>
    </row>
    <row r="48" spans="1:14" ht="18" x14ac:dyDescent="0.35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5">
      <c r="C49" s="167" t="s">
        <v>82</v>
      </c>
      <c r="D49" s="168">
        <f>D48/B34</f>
        <v>25</v>
      </c>
      <c r="F49" s="166"/>
      <c r="H49" s="150"/>
    </row>
    <row r="50" spans="1:12" ht="18" x14ac:dyDescent="0.35">
      <c r="C50" s="122" t="s">
        <v>83</v>
      </c>
      <c r="D50" s="169">
        <f>AVERAGE(E38:E41,G38:G41)</f>
        <v>22561202.203200113</v>
      </c>
      <c r="F50" s="170"/>
      <c r="H50" s="150"/>
    </row>
    <row r="51" spans="1:12" ht="18" x14ac:dyDescent="0.35">
      <c r="C51" s="124" t="s">
        <v>84</v>
      </c>
      <c r="D51" s="171">
        <f>STDEV(E38:E41,G38:G41)/D50</f>
        <v>1.0865830749515379E-2</v>
      </c>
      <c r="F51" s="170"/>
      <c r="H51" s="150"/>
    </row>
    <row r="52" spans="1:12" ht="19.5" customHeight="1" x14ac:dyDescent="0.35">
      <c r="C52" s="172" t="s">
        <v>20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85</v>
      </c>
    </row>
    <row r="55" spans="1:12" ht="18" x14ac:dyDescent="0.35">
      <c r="A55" s="99" t="s">
        <v>86</v>
      </c>
      <c r="B55" s="176" t="str">
        <f>B21</f>
        <v>Each tablet contains: 200 mg of Nevirapine USP.</v>
      </c>
    </row>
    <row r="56" spans="1:12" ht="26.25" customHeight="1" x14ac:dyDescent="0.45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" x14ac:dyDescent="0.35">
      <c r="A57" s="176" t="s">
        <v>88</v>
      </c>
      <c r="B57" s="247">
        <f>Uniformity!C46</f>
        <v>803.93749999999989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5">
      <c r="A60" s="124" t="s">
        <v>93</v>
      </c>
      <c r="B60" s="125">
        <v>5</v>
      </c>
      <c r="C60" s="298" t="s">
        <v>94</v>
      </c>
      <c r="D60" s="301">
        <v>203.27</v>
      </c>
      <c r="E60" s="182">
        <v>1</v>
      </c>
      <c r="F60" s="183">
        <v>22483414</v>
      </c>
      <c r="G60" s="248">
        <f>IF(ISBLANK(F60),"-",(F60/$D$50*$D$47*$B$68)*($B$57/$D$60))</f>
        <v>197.06932259014508</v>
      </c>
      <c r="H60" s="266">
        <f t="shared" ref="H60:H71" si="0">IF(ISBLANK(F60),"-",(G60/$B$56)*100)</f>
        <v>98.534661295072539</v>
      </c>
      <c r="L60" s="112"/>
    </row>
    <row r="61" spans="1:12" s="14" customFormat="1" ht="26.25" customHeight="1" x14ac:dyDescent="0.45">
      <c r="A61" s="124" t="s">
        <v>95</v>
      </c>
      <c r="B61" s="125">
        <v>100</v>
      </c>
      <c r="C61" s="299"/>
      <c r="D61" s="302"/>
      <c r="E61" s="184">
        <v>2</v>
      </c>
      <c r="F61" s="137">
        <v>22559680</v>
      </c>
      <c r="G61" s="249">
        <f>IF(ISBLANK(F61),"-",(F61/$D$50*$D$47*$B$68)*($B$57/$D$60))</f>
        <v>197.73780153896755</v>
      </c>
      <c r="H61" s="267">
        <f t="shared" si="0"/>
        <v>98.868900769483773</v>
      </c>
      <c r="L61" s="112"/>
    </row>
    <row r="62" spans="1:12" s="14" customFormat="1" ht="26.25" customHeight="1" x14ac:dyDescent="0.45">
      <c r="A62" s="124" t="s">
        <v>96</v>
      </c>
      <c r="B62" s="125">
        <v>1</v>
      </c>
      <c r="C62" s="299"/>
      <c r="D62" s="302"/>
      <c r="E62" s="184">
        <v>3</v>
      </c>
      <c r="F62" s="185">
        <v>22549745</v>
      </c>
      <c r="G62" s="249">
        <f>IF(ISBLANK(F62),"-",(F62/$D$50*$D$47*$B$68)*($B$57/$D$60))</f>
        <v>197.65072029232354</v>
      </c>
      <c r="H62" s="267">
        <f t="shared" si="0"/>
        <v>98.825360146161771</v>
      </c>
      <c r="L62" s="112"/>
    </row>
    <row r="63" spans="1:12" ht="27" customHeight="1" x14ac:dyDescent="0.45">
      <c r="A63" s="124" t="s">
        <v>97</v>
      </c>
      <c r="B63" s="125">
        <v>1</v>
      </c>
      <c r="C63" s="300"/>
      <c r="D63" s="30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5">
      <c r="A64" s="124" t="s">
        <v>98</v>
      </c>
      <c r="B64" s="125">
        <v>1</v>
      </c>
      <c r="C64" s="298" t="s">
        <v>99</v>
      </c>
      <c r="D64" s="301">
        <v>203.9</v>
      </c>
      <c r="E64" s="182">
        <v>1</v>
      </c>
      <c r="F64" s="183">
        <v>22814305</v>
      </c>
      <c r="G64" s="248">
        <f>IF(ISBLANK(F64),"-",(F64/$D$50*$D$47*$B$68)*($B$57/$D$64))</f>
        <v>199.35175847422994</v>
      </c>
      <c r="H64" s="266">
        <f t="shared" si="0"/>
        <v>99.67587923711497</v>
      </c>
    </row>
    <row r="65" spans="1:8" ht="26.25" customHeight="1" x14ac:dyDescent="0.45">
      <c r="A65" s="124" t="s">
        <v>100</v>
      </c>
      <c r="B65" s="125">
        <v>1</v>
      </c>
      <c r="C65" s="299"/>
      <c r="D65" s="302"/>
      <c r="E65" s="184">
        <v>2</v>
      </c>
      <c r="F65" s="137">
        <v>22674789</v>
      </c>
      <c r="G65" s="249">
        <f>IF(ISBLANK(F65),"-",(F65/$D$50*$D$47*$B$68)*($B$57/$D$64))</f>
        <v>198.132665456262</v>
      </c>
      <c r="H65" s="267">
        <f t="shared" si="0"/>
        <v>99.066332728131002</v>
      </c>
    </row>
    <row r="66" spans="1:8" ht="26.25" customHeight="1" x14ac:dyDescent="0.45">
      <c r="A66" s="124" t="s">
        <v>101</v>
      </c>
      <c r="B66" s="125">
        <v>1</v>
      </c>
      <c r="C66" s="299"/>
      <c r="D66" s="302"/>
      <c r="E66" s="184">
        <v>3</v>
      </c>
      <c r="F66" s="137">
        <v>22489765</v>
      </c>
      <c r="G66" s="249">
        <f>IF(ISBLANK(F66),"-",(F66/$D$50*$D$47*$B$68)*($B$57/$D$64))</f>
        <v>196.51592281343608</v>
      </c>
      <c r="H66" s="267">
        <f t="shared" si="0"/>
        <v>98.257961406718039</v>
      </c>
    </row>
    <row r="67" spans="1:8" ht="27" customHeight="1" x14ac:dyDescent="0.45">
      <c r="A67" s="124" t="s">
        <v>102</v>
      </c>
      <c r="B67" s="125">
        <v>1</v>
      </c>
      <c r="C67" s="300"/>
      <c r="D67" s="30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5">
      <c r="A68" s="124" t="s">
        <v>103</v>
      </c>
      <c r="B68" s="188">
        <f>(B67/B66)*(B65/B64)*(B63/B62)*(B61/B60)*B59</f>
        <v>2000</v>
      </c>
      <c r="C68" s="298" t="s">
        <v>104</v>
      </c>
      <c r="D68" s="301">
        <v>201.14</v>
      </c>
      <c r="E68" s="182">
        <v>1</v>
      </c>
      <c r="F68" s="183">
        <v>22250086</v>
      </c>
      <c r="G68" s="248">
        <f>IF(ISBLANK(F68),"-",(F68/$D$50*$D$47*$B$68)*($B$57/$D$68))</f>
        <v>197.08941552272179</v>
      </c>
      <c r="H68" s="267">
        <f t="shared" si="0"/>
        <v>98.544707761360897</v>
      </c>
    </row>
    <row r="69" spans="1:8" ht="27" customHeight="1" x14ac:dyDescent="0.5">
      <c r="A69" s="172" t="s">
        <v>105</v>
      </c>
      <c r="B69" s="189">
        <f>(D47*B68)/B56*B57</f>
        <v>200.98437499999997</v>
      </c>
      <c r="C69" s="299"/>
      <c r="D69" s="302"/>
      <c r="E69" s="184">
        <v>2</v>
      </c>
      <c r="F69" s="137">
        <v>22222137</v>
      </c>
      <c r="G69" s="249">
        <f>IF(ISBLANK(F69),"-",(F69/$D$50*$D$47*$B$68)*($B$57/$D$68))</f>
        <v>196.84184559987099</v>
      </c>
      <c r="H69" s="267">
        <f t="shared" si="0"/>
        <v>98.420922799935497</v>
      </c>
    </row>
    <row r="70" spans="1:8" ht="26.25" customHeight="1" x14ac:dyDescent="0.45">
      <c r="A70" s="328" t="s">
        <v>78</v>
      </c>
      <c r="B70" s="329"/>
      <c r="C70" s="299"/>
      <c r="D70" s="302"/>
      <c r="E70" s="184">
        <v>3</v>
      </c>
      <c r="F70" s="137">
        <v>22910850</v>
      </c>
      <c r="G70" s="249">
        <f>IF(ISBLANK(F70),"-",(F70/$D$50*$D$47*$B$68)*($B$57/$D$68))</f>
        <v>202.94240820591662</v>
      </c>
      <c r="H70" s="267">
        <f t="shared" si="0"/>
        <v>101.47120410295831</v>
      </c>
    </row>
    <row r="71" spans="1:8" ht="27" customHeight="1" x14ac:dyDescent="0.45">
      <c r="A71" s="330"/>
      <c r="B71" s="331"/>
      <c r="C71" s="327"/>
      <c r="D71" s="30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5">
      <c r="A72" s="190"/>
      <c r="B72" s="190"/>
      <c r="C72" s="190"/>
      <c r="D72" s="190"/>
      <c r="E72" s="190"/>
      <c r="F72" s="192" t="s">
        <v>71</v>
      </c>
      <c r="G72" s="254">
        <f>AVERAGE(G60:G71)</f>
        <v>198.14798449931925</v>
      </c>
      <c r="H72" s="269">
        <f>AVERAGE(H60:H71)</f>
        <v>99.073992249659625</v>
      </c>
    </row>
    <row r="73" spans="1:8" ht="26.25" customHeight="1" x14ac:dyDescent="0.45">
      <c r="C73" s="190"/>
      <c r="D73" s="190"/>
      <c r="E73" s="190"/>
      <c r="F73" s="193" t="s">
        <v>84</v>
      </c>
      <c r="G73" s="253">
        <f>STDEV(G60:G71)/G72</f>
        <v>1.001510027406273E-2</v>
      </c>
      <c r="H73" s="253">
        <f>STDEV(H60:H71)/H72</f>
        <v>1.001510027406273E-2</v>
      </c>
    </row>
    <row r="74" spans="1:8" ht="27" customHeight="1" x14ac:dyDescent="0.45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5">
      <c r="A76" s="108" t="s">
        <v>106</v>
      </c>
      <c r="B76" s="197" t="s">
        <v>107</v>
      </c>
      <c r="C76" s="332" t="str">
        <f>B26</f>
        <v>Nevirapine</v>
      </c>
      <c r="D76" s="332"/>
      <c r="E76" s="198" t="s">
        <v>108</v>
      </c>
      <c r="F76" s="198"/>
      <c r="G76" s="285">
        <f>H72</f>
        <v>99.073992249659625</v>
      </c>
      <c r="H76" s="200"/>
    </row>
    <row r="77" spans="1:8" ht="18" x14ac:dyDescent="0.35">
      <c r="A77" s="107" t="s">
        <v>109</v>
      </c>
      <c r="B77" s="107" t="s">
        <v>110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333" t="str">
        <f>B26</f>
        <v>Nevirapine</v>
      </c>
      <c r="C79" s="333"/>
    </row>
    <row r="80" spans="1:8" ht="26.25" customHeight="1" x14ac:dyDescent="0.45">
      <c r="A80" s="109" t="s">
        <v>48</v>
      </c>
      <c r="B80" s="333" t="str">
        <f>B27</f>
        <v>N1-6</v>
      </c>
      <c r="C80" s="333"/>
    </row>
    <row r="81" spans="1:12" ht="27" customHeight="1" x14ac:dyDescent="0.45">
      <c r="A81" s="109" t="s">
        <v>6</v>
      </c>
      <c r="B81" s="201">
        <f>B28</f>
        <v>99.7</v>
      </c>
    </row>
    <row r="82" spans="1:12" s="14" customFormat="1" ht="27" customHeight="1" x14ac:dyDescent="0.5">
      <c r="A82" s="109" t="s">
        <v>49</v>
      </c>
      <c r="B82" s="111">
        <v>0</v>
      </c>
      <c r="C82" s="311" t="s">
        <v>50</v>
      </c>
      <c r="D82" s="312"/>
      <c r="E82" s="312"/>
      <c r="F82" s="312"/>
      <c r="G82" s="313"/>
      <c r="I82" s="112"/>
      <c r="J82" s="112"/>
      <c r="K82" s="112"/>
      <c r="L82" s="112"/>
    </row>
    <row r="83" spans="1:12" s="14" customFormat="1" ht="19.5" customHeight="1" x14ac:dyDescent="0.35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52</v>
      </c>
      <c r="B84" s="116">
        <v>1</v>
      </c>
      <c r="C84" s="314" t="s">
        <v>111</v>
      </c>
      <c r="D84" s="315"/>
      <c r="E84" s="315"/>
      <c r="F84" s="315"/>
      <c r="G84" s="315"/>
      <c r="H84" s="316"/>
      <c r="I84" s="112"/>
      <c r="J84" s="112"/>
      <c r="K84" s="112"/>
      <c r="L84" s="112"/>
    </row>
    <row r="85" spans="1:12" s="14" customFormat="1" ht="27" customHeight="1" x14ac:dyDescent="0.45">
      <c r="A85" s="109" t="s">
        <v>54</v>
      </c>
      <c r="B85" s="116">
        <v>1</v>
      </c>
      <c r="C85" s="314" t="s">
        <v>112</v>
      </c>
      <c r="D85" s="315"/>
      <c r="E85" s="315"/>
      <c r="F85" s="315"/>
      <c r="G85" s="315"/>
      <c r="H85" s="316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58</v>
      </c>
      <c r="B89" s="123">
        <v>100</v>
      </c>
      <c r="D89" s="202" t="s">
        <v>59</v>
      </c>
      <c r="E89" s="203"/>
      <c r="F89" s="322" t="s">
        <v>60</v>
      </c>
      <c r="G89" s="324"/>
    </row>
    <row r="90" spans="1:12" ht="27" customHeight="1" x14ac:dyDescent="0.45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5">
      <c r="A91" s="124" t="s">
        <v>66</v>
      </c>
      <c r="B91" s="125">
        <v>20</v>
      </c>
      <c r="C91" s="206">
        <v>1</v>
      </c>
      <c r="D91" s="132">
        <v>12974813</v>
      </c>
      <c r="E91" s="133">
        <f>IF(ISBLANK(D91),"-",$D$101/$D$98*D91)</f>
        <v>10190160.961311623</v>
      </c>
      <c r="F91" s="132">
        <v>12991272</v>
      </c>
      <c r="G91" s="134">
        <f>IF(ISBLANK(F91),"-",$D$101/$F$98*F91)</f>
        <v>10348950.114580099</v>
      </c>
      <c r="I91" s="135"/>
    </row>
    <row r="92" spans="1:12" ht="26.25" customHeight="1" x14ac:dyDescent="0.45">
      <c r="A92" s="124" t="s">
        <v>67</v>
      </c>
      <c r="B92" s="125">
        <v>1</v>
      </c>
      <c r="C92" s="191">
        <v>2</v>
      </c>
      <c r="D92" s="137">
        <v>13023166</v>
      </c>
      <c r="E92" s="138">
        <f>IF(ISBLANK(D92),"-",$D$101/$D$98*D92)</f>
        <v>10228136.449124996</v>
      </c>
      <c r="F92" s="137">
        <v>12974807</v>
      </c>
      <c r="G92" s="139">
        <f>IF(ISBLANK(F92),"-",$D$101/$F$98*F92)</f>
        <v>10335833.965242563</v>
      </c>
      <c r="I92" s="317">
        <f>ABS((F96/D96*D95)-F95)/D95</f>
        <v>1.2580474333862361E-2</v>
      </c>
    </row>
    <row r="93" spans="1:12" ht="26.25" customHeight="1" x14ac:dyDescent="0.45">
      <c r="A93" s="124" t="s">
        <v>68</v>
      </c>
      <c r="B93" s="125">
        <v>1</v>
      </c>
      <c r="C93" s="191">
        <v>3</v>
      </c>
      <c r="D93" s="137">
        <v>12985920</v>
      </c>
      <c r="E93" s="138">
        <f>IF(ISBLANK(D93),"-",$D$101/$D$98*D93)</f>
        <v>10198884.178963954</v>
      </c>
      <c r="F93" s="137">
        <v>12958800</v>
      </c>
      <c r="G93" s="139">
        <f>IF(ISBLANK(F93),"-",$D$101/$F$98*F93)</f>
        <v>10323082.66233057</v>
      </c>
      <c r="I93" s="317"/>
    </row>
    <row r="94" spans="1:12" ht="27" customHeight="1" x14ac:dyDescent="0.45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5">
      <c r="A95" s="124" t="s">
        <v>70</v>
      </c>
      <c r="B95" s="125">
        <v>1</v>
      </c>
      <c r="C95" s="209" t="s">
        <v>71</v>
      </c>
      <c r="D95" s="210">
        <f>AVERAGE(D91:D94)</f>
        <v>12994633</v>
      </c>
      <c r="E95" s="148">
        <f>AVERAGE(E91:E94)</f>
        <v>10205727.196466858</v>
      </c>
      <c r="F95" s="211">
        <f>AVERAGE(F91:F94)</f>
        <v>12974959.666666666</v>
      </c>
      <c r="G95" s="212">
        <f>AVERAGE(G91:G94)</f>
        <v>10335955.580717742</v>
      </c>
    </row>
    <row r="96" spans="1:12" ht="26.25" customHeight="1" x14ac:dyDescent="0.45">
      <c r="A96" s="124" t="s">
        <v>72</v>
      </c>
      <c r="B96" s="110">
        <v>1</v>
      </c>
      <c r="C96" s="213" t="s">
        <v>113</v>
      </c>
      <c r="D96" s="214">
        <v>14.19</v>
      </c>
      <c r="E96" s="140"/>
      <c r="F96" s="152">
        <v>13.99</v>
      </c>
    </row>
    <row r="97" spans="1:10" ht="26.25" customHeight="1" x14ac:dyDescent="0.45">
      <c r="A97" s="124" t="s">
        <v>74</v>
      </c>
      <c r="B97" s="110">
        <v>1</v>
      </c>
      <c r="C97" s="215" t="s">
        <v>114</v>
      </c>
      <c r="D97" s="216">
        <f>D96*$B$87</f>
        <v>14.19</v>
      </c>
      <c r="E97" s="155"/>
      <c r="F97" s="154">
        <f>F96*$B$87</f>
        <v>13.99</v>
      </c>
    </row>
    <row r="98" spans="1:10" ht="19.5" customHeight="1" x14ac:dyDescent="0.35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14.14743</v>
      </c>
      <c r="E98" s="158"/>
      <c r="F98" s="157">
        <f>F97*$B$83/100</f>
        <v>13.948030000000001</v>
      </c>
    </row>
    <row r="99" spans="1:10" ht="19.5" customHeight="1" x14ac:dyDescent="0.35">
      <c r="A99" s="318" t="s">
        <v>78</v>
      </c>
      <c r="B99" s="325"/>
      <c r="C99" s="215" t="s">
        <v>116</v>
      </c>
      <c r="D99" s="219">
        <f>D98/$B$98</f>
        <v>1.4147430000000001E-2</v>
      </c>
      <c r="E99" s="158"/>
      <c r="F99" s="161">
        <f>F98/$B$98</f>
        <v>1.3948030000000002E-2</v>
      </c>
      <c r="G99" s="220"/>
      <c r="H99" s="150"/>
    </row>
    <row r="100" spans="1:10" ht="19.5" customHeight="1" x14ac:dyDescent="0.35">
      <c r="A100" s="320"/>
      <c r="B100" s="326"/>
      <c r="C100" s="215" t="s">
        <v>80</v>
      </c>
      <c r="D100" s="221">
        <f>$B$56/$B$116</f>
        <v>1.1111111111111112E-2</v>
      </c>
      <c r="F100" s="166"/>
      <c r="G100" s="222"/>
      <c r="H100" s="150"/>
    </row>
    <row r="101" spans="1:10" ht="18" x14ac:dyDescent="0.35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5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" x14ac:dyDescent="0.35">
      <c r="C103" s="226" t="s">
        <v>117</v>
      </c>
      <c r="D103" s="227">
        <f>AVERAGE(E91:E94,G91:G94)</f>
        <v>10270841.388592301</v>
      </c>
      <c r="F103" s="170"/>
      <c r="G103" s="228"/>
      <c r="H103" s="150"/>
      <c r="J103" s="229"/>
    </row>
    <row r="104" spans="1:10" ht="18" x14ac:dyDescent="0.35">
      <c r="C104" s="193" t="s">
        <v>84</v>
      </c>
      <c r="D104" s="230">
        <f>STDEV(E91:E94,G91:G94)/D103</f>
        <v>7.0968271666722888E-3</v>
      </c>
      <c r="F104" s="170"/>
      <c r="G104" s="220"/>
      <c r="H104" s="150"/>
      <c r="J104" s="229"/>
    </row>
    <row r="105" spans="1:10" ht="19.5" customHeight="1" x14ac:dyDescent="0.35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7" customHeight="1" x14ac:dyDescent="0.45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5">
      <c r="A108" s="124" t="s">
        <v>122</v>
      </c>
      <c r="B108" s="125">
        <v>5</v>
      </c>
      <c r="C108" s="275">
        <v>1</v>
      </c>
      <c r="D108" s="276">
        <v>8658175</v>
      </c>
      <c r="E108" s="250">
        <f t="shared" ref="E108:E113" si="1">IF(ISBLANK(D108),"-",D108/$D$103*$D$100*$B$116)</f>
        <v>168.59719028699109</v>
      </c>
      <c r="F108" s="277">
        <f t="shared" ref="F108:F113" si="2">IF(ISBLANK(D108), "-", (E108/$B$56)*100)</f>
        <v>84.298595143495547</v>
      </c>
    </row>
    <row r="109" spans="1:10" ht="26.25" customHeight="1" x14ac:dyDescent="0.45">
      <c r="A109" s="124" t="s">
        <v>95</v>
      </c>
      <c r="B109" s="125">
        <v>100</v>
      </c>
      <c r="C109" s="271">
        <v>2</v>
      </c>
      <c r="D109" s="273">
        <v>9161997</v>
      </c>
      <c r="E109" s="251">
        <f t="shared" si="1"/>
        <v>178.40791524978897</v>
      </c>
      <c r="F109" s="278">
        <f t="shared" si="2"/>
        <v>89.203957624894485</v>
      </c>
    </row>
    <row r="110" spans="1:10" ht="26.25" customHeight="1" x14ac:dyDescent="0.45">
      <c r="A110" s="124" t="s">
        <v>96</v>
      </c>
      <c r="B110" s="125">
        <v>1</v>
      </c>
      <c r="C110" s="271">
        <v>3</v>
      </c>
      <c r="D110" s="273">
        <v>9189596</v>
      </c>
      <c r="E110" s="251">
        <f t="shared" si="1"/>
        <v>178.94533957474553</v>
      </c>
      <c r="F110" s="278">
        <f t="shared" si="2"/>
        <v>89.472669787372766</v>
      </c>
    </row>
    <row r="111" spans="1:10" ht="26.25" customHeight="1" x14ac:dyDescent="0.45">
      <c r="A111" s="124" t="s">
        <v>97</v>
      </c>
      <c r="B111" s="125">
        <v>1</v>
      </c>
      <c r="C111" s="271">
        <v>4</v>
      </c>
      <c r="D111" s="273">
        <v>9158548</v>
      </c>
      <c r="E111" s="251">
        <f t="shared" si="1"/>
        <v>178.34075424769557</v>
      </c>
      <c r="F111" s="278">
        <f t="shared" si="2"/>
        <v>89.170377123847786</v>
      </c>
    </row>
    <row r="112" spans="1:10" ht="26.25" customHeight="1" x14ac:dyDescent="0.45">
      <c r="A112" s="124" t="s">
        <v>98</v>
      </c>
      <c r="B112" s="125">
        <v>1</v>
      </c>
      <c r="C112" s="271">
        <v>5</v>
      </c>
      <c r="D112" s="273">
        <v>9206366</v>
      </c>
      <c r="E112" s="251">
        <f t="shared" si="1"/>
        <v>179.27189509956602</v>
      </c>
      <c r="F112" s="278">
        <f t="shared" si="2"/>
        <v>89.635947549783012</v>
      </c>
    </row>
    <row r="113" spans="1:10" ht="27" customHeight="1" x14ac:dyDescent="0.45">
      <c r="A113" s="124" t="s">
        <v>100</v>
      </c>
      <c r="B113" s="125">
        <v>1</v>
      </c>
      <c r="C113" s="272">
        <v>6</v>
      </c>
      <c r="D113" s="274">
        <v>9121190</v>
      </c>
      <c r="E113" s="252">
        <f t="shared" si="1"/>
        <v>177.61329680605905</v>
      </c>
      <c r="F113" s="279">
        <f t="shared" si="2"/>
        <v>88.806648403029527</v>
      </c>
    </row>
    <row r="114" spans="1:10" ht="27" customHeight="1" x14ac:dyDescent="0.45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5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176.86273187747437</v>
      </c>
      <c r="F115" s="281">
        <f>AVERAGE(F108:F113)</f>
        <v>88.431365938737187</v>
      </c>
    </row>
    <row r="116" spans="1:10" ht="27" customHeight="1" x14ac:dyDescent="0.45">
      <c r="A116" s="124" t="s">
        <v>103</v>
      </c>
      <c r="B116" s="156">
        <f>(B115/B114)*(B113/B112)*(B111/B110)*(B109/B108)*B107</f>
        <v>18000</v>
      </c>
      <c r="C116" s="234"/>
      <c r="D116" s="258" t="s">
        <v>84</v>
      </c>
      <c r="E116" s="256">
        <f>STDEV(E108:E113)/E115</f>
        <v>2.3119124849996439E-2</v>
      </c>
      <c r="F116" s="235">
        <f>STDEV(F108:F113)/F115</f>
        <v>2.3119124849996439E-2</v>
      </c>
      <c r="I116" s="98"/>
    </row>
    <row r="117" spans="1:10" ht="27" customHeight="1" x14ac:dyDescent="0.45">
      <c r="A117" s="318" t="s">
        <v>78</v>
      </c>
      <c r="B117" s="31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5">
      <c r="A118" s="320"/>
      <c r="B118" s="321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5">
      <c r="A119" s="245"/>
      <c r="B119" s="120"/>
      <c r="C119" s="98"/>
      <c r="D119" s="258" t="s">
        <v>124</v>
      </c>
      <c r="E119" s="263">
        <f>MIN(E108:E113)</f>
        <v>168.59719028699109</v>
      </c>
      <c r="F119" s="282">
        <f>MIN(F108:F113)</f>
        <v>84.298595143495547</v>
      </c>
      <c r="G119" s="98"/>
      <c r="H119" s="98"/>
      <c r="I119" s="98"/>
    </row>
    <row r="120" spans="1:10" ht="24" customHeight="1" x14ac:dyDescent="0.45">
      <c r="A120" s="245"/>
      <c r="B120" s="120"/>
      <c r="C120" s="98"/>
      <c r="D120" s="167" t="s">
        <v>125</v>
      </c>
      <c r="E120" s="264">
        <f>MAX(E108:E113)</f>
        <v>179.27189509956602</v>
      </c>
      <c r="F120" s="283">
        <f>MAX(F108:F113)</f>
        <v>89.635947549783012</v>
      </c>
      <c r="G120" s="98"/>
      <c r="H120" s="98"/>
      <c r="I120" s="98"/>
    </row>
    <row r="121" spans="1:10" ht="27" customHeight="1" x14ac:dyDescent="0.35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5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" x14ac:dyDescent="0.35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85">
      <c r="A124" s="108" t="s">
        <v>106</v>
      </c>
      <c r="B124" s="197" t="s">
        <v>126</v>
      </c>
      <c r="C124" s="332" t="str">
        <f>B26</f>
        <v>Nevirapine</v>
      </c>
      <c r="D124" s="332"/>
      <c r="E124" s="198" t="s">
        <v>127</v>
      </c>
      <c r="F124" s="198"/>
      <c r="G124" s="284">
        <f>F115</f>
        <v>88.431365938737187</v>
      </c>
      <c r="H124" s="98"/>
      <c r="I124" s="98"/>
    </row>
    <row r="125" spans="1:10" ht="45.75" customHeight="1" x14ac:dyDescent="0.85">
      <c r="A125" s="108"/>
      <c r="B125" s="197" t="s">
        <v>128</v>
      </c>
      <c r="C125" s="109" t="s">
        <v>129</v>
      </c>
      <c r="D125" s="284">
        <f>MIN(F108:F113)</f>
        <v>84.298595143495547</v>
      </c>
      <c r="E125" s="209" t="s">
        <v>130</v>
      </c>
      <c r="F125" s="284">
        <f>MAX(F108:F113)</f>
        <v>89.635947549783012</v>
      </c>
      <c r="G125" s="199"/>
      <c r="H125" s="98"/>
      <c r="I125" s="98"/>
    </row>
    <row r="126" spans="1:10" ht="19.5" customHeight="1" x14ac:dyDescent="0.35">
      <c r="A126" s="237"/>
      <c r="B126" s="237"/>
      <c r="C126" s="238"/>
      <c r="D126" s="238"/>
      <c r="E126" s="238"/>
      <c r="F126" s="238"/>
      <c r="G126" s="238"/>
      <c r="H126" s="238"/>
    </row>
    <row r="127" spans="1:10" ht="18" x14ac:dyDescent="0.35">
      <c r="B127" s="336" t="s">
        <v>26</v>
      </c>
      <c r="C127" s="336"/>
      <c r="E127" s="204" t="s">
        <v>27</v>
      </c>
      <c r="F127" s="239"/>
      <c r="G127" s="336" t="s">
        <v>28</v>
      </c>
      <c r="H127" s="336"/>
    </row>
    <row r="128" spans="1:10" ht="69.900000000000006" customHeight="1" x14ac:dyDescent="0.35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00000000000006" customHeight="1" x14ac:dyDescent="0.35">
      <c r="A129" s="240" t="s">
        <v>30</v>
      </c>
      <c r="B129" s="243"/>
      <c r="C129" s="243"/>
      <c r="E129" s="243"/>
      <c r="F129" s="98"/>
      <c r="G129" s="244"/>
      <c r="H129" s="244"/>
    </row>
    <row r="130" spans="1:9" ht="18" x14ac:dyDescent="0.35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" x14ac:dyDescent="0.35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" x14ac:dyDescent="0.35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" x14ac:dyDescent="0.35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" x14ac:dyDescent="0.35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" x14ac:dyDescent="0.35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" x14ac:dyDescent="0.35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" x14ac:dyDescent="0.35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" x14ac:dyDescent="0.35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2017-10-02T08:59:11Z</cp:lastPrinted>
  <dcterms:created xsi:type="dcterms:W3CDTF">2005-07-05T10:19:27Z</dcterms:created>
  <dcterms:modified xsi:type="dcterms:W3CDTF">2017-10-12T05:55:32Z</dcterms:modified>
</cp:coreProperties>
</file>