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6" yWindow="528" windowWidth="20772" windowHeight="11448" activeTab="2"/>
  </bookViews>
  <sheets>
    <sheet name="SST" sheetId="1" r:id="rId1"/>
    <sheet name="Uniformity" sheetId="2" r:id="rId2"/>
    <sheet name="Nevirapine" sheetId="3" r:id="rId3"/>
  </sheets>
  <definedNames>
    <definedName name="_xlnm.Print_Area" localSheetId="2">Nevirapine!$A$1:$H$129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42" i="1" l="1"/>
  <c r="B21" i="1"/>
  <c r="C124" i="3"/>
  <c r="B116" i="3"/>
  <c r="D100" i="3"/>
  <c r="B98" i="3"/>
  <c r="F95" i="3"/>
  <c r="D95" i="3"/>
  <c r="B87" i="3"/>
  <c r="F97" i="3"/>
  <c r="B81" i="3"/>
  <c r="B83" i="3"/>
  <c r="B80" i="3"/>
  <c r="B79" i="3"/>
  <c r="C76" i="3"/>
  <c r="B68" i="3"/>
  <c r="B57" i="3"/>
  <c r="C56" i="3"/>
  <c r="B55" i="3"/>
  <c r="B45" i="3"/>
  <c r="D48" i="3"/>
  <c r="F42" i="3"/>
  <c r="D42" i="3"/>
  <c r="I39" i="3"/>
  <c r="B34" i="3"/>
  <c r="F44" i="3"/>
  <c r="B30" i="3"/>
  <c r="D50" i="2"/>
  <c r="D49" i="2"/>
  <c r="C49" i="2"/>
  <c r="B49" i="2"/>
  <c r="C46" i="2"/>
  <c r="C50" i="2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/>
  <c r="B32" i="1"/>
  <c r="E30" i="1"/>
  <c r="D30" i="1"/>
  <c r="C30" i="1"/>
  <c r="B30" i="1"/>
  <c r="B31" i="1"/>
  <c r="I92" i="3"/>
  <c r="D101" i="3"/>
  <c r="B69" i="3"/>
  <c r="F45" i="3"/>
  <c r="F46" i="3"/>
  <c r="F98" i="3"/>
  <c r="G91" i="3"/>
  <c r="G95" i="3"/>
  <c r="F99" i="3"/>
  <c r="G94" i="3"/>
  <c r="G93" i="3"/>
  <c r="D49" i="3"/>
  <c r="G41" i="3"/>
  <c r="D97" i="3"/>
  <c r="D98" i="3"/>
  <c r="D44" i="3"/>
  <c r="D45" i="3"/>
  <c r="D46" i="3"/>
  <c r="D102" i="3"/>
  <c r="G38" i="3"/>
  <c r="G39" i="3"/>
  <c r="G40" i="3"/>
  <c r="G92" i="3"/>
  <c r="E40" i="3"/>
  <c r="E41" i="3"/>
  <c r="E39" i="3"/>
  <c r="E94" i="3"/>
  <c r="E38" i="3"/>
  <c r="G42" i="3"/>
  <c r="D50" i="3"/>
  <c r="E42" i="3"/>
  <c r="D52" i="3"/>
  <c r="E113" i="3"/>
  <c r="F113" i="3"/>
  <c r="E111" i="3"/>
  <c r="F111" i="3"/>
  <c r="E109" i="3"/>
  <c r="F109" i="3"/>
  <c r="E112" i="3"/>
  <c r="F112" i="3"/>
  <c r="E110" i="3"/>
  <c r="F110" i="3"/>
  <c r="E108" i="3"/>
  <c r="G70" i="3"/>
  <c r="H70" i="3"/>
  <c r="G67" i="3"/>
  <c r="H67" i="3"/>
  <c r="G65" i="3"/>
  <c r="H65" i="3"/>
  <c r="G63" i="3"/>
  <c r="H63" i="3"/>
  <c r="G61" i="3"/>
  <c r="H61" i="3"/>
  <c r="H74" i="3" s="1"/>
  <c r="G68" i="3"/>
  <c r="H68" i="3"/>
  <c r="G71" i="3"/>
  <c r="H71" i="3"/>
  <c r="G69" i="3"/>
  <c r="H69" i="3"/>
  <c r="G66" i="3"/>
  <c r="H66" i="3"/>
  <c r="G64" i="3"/>
  <c r="H64" i="3"/>
  <c r="G62" i="3"/>
  <c r="H62" i="3"/>
  <c r="G60" i="3"/>
  <c r="D51" i="3"/>
  <c r="G74" i="3"/>
  <c r="G72" i="3"/>
  <c r="G73" i="3" s="1"/>
  <c r="H60" i="3"/>
  <c r="E120" i="3"/>
  <c r="F108" i="3"/>
  <c r="F125" i="3"/>
  <c r="E92" i="3"/>
  <c r="E91" i="3"/>
  <c r="E93" i="3"/>
  <c r="D105" i="3"/>
  <c r="D99" i="3"/>
  <c r="E117" i="3"/>
  <c r="E115" i="3"/>
  <c r="E116" i="3"/>
  <c r="E119" i="3"/>
  <c r="F115" i="3"/>
  <c r="F116" i="3"/>
  <c r="F120" i="3"/>
  <c r="F119" i="3"/>
  <c r="D125" i="3"/>
  <c r="F117" i="3"/>
  <c r="E95" i="3"/>
  <c r="D103" i="3"/>
  <c r="D104" i="3"/>
  <c r="G124" i="3"/>
  <c r="H72" i="3" l="1"/>
  <c r="G76" i="3" l="1"/>
  <c r="H73" i="3"/>
</calcChain>
</file>

<file path=xl/sharedStrings.xml><?xml version="1.0" encoding="utf-8"?>
<sst xmlns="http://schemas.openxmlformats.org/spreadsheetml/2006/main" count="241" uniqueCount="136">
  <si>
    <t>HPLC System Suitability Report</t>
  </si>
  <si>
    <t>Analysis Data</t>
  </si>
  <si>
    <t>Assay</t>
  </si>
  <si>
    <t>Sample(s)</t>
  </si>
  <si>
    <t>Reference Substance:</t>
  </si>
  <si>
    <t>NEVIRAPINE 200MG TABLETS USP</t>
  </si>
  <si>
    <t>% age Purity:</t>
  </si>
  <si>
    <t>NDQB201707022</t>
  </si>
  <si>
    <t>Weight (mg):</t>
  </si>
  <si>
    <t>Nevirapine USP</t>
  </si>
  <si>
    <t>Standard Conc (mg/mL):</t>
  </si>
  <si>
    <t>Each tablet contains: 200 mg of Nevirapine USP.</t>
  </si>
  <si>
    <t>2017-07-19 09:24:55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</si>
  <si>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</si>
  <si>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</si>
  <si>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</si>
  <si>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</si>
  <si>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</si>
  <si>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</si>
  <si>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</si>
  <si>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</si>
  <si>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</si>
  <si>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indexed="8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</si>
  <si>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indexed="8"/>
        <rFont val="Book Antiqua"/>
      </rPr>
      <t>greater than 2000</t>
    </r>
  </si>
  <si>
    <r>
      <t>The Assymetry of all peaks were below</t>
    </r>
    <r>
      <rPr>
        <b/>
        <sz val="12"/>
        <color indexed="8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</si>
  <si>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</si>
  <si>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</si>
  <si>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</si>
  <si>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</si>
  <si>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</si>
  <si>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</si>
  <si>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</si>
  <si>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</si>
  <si>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</si>
  <si>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</si>
  <si>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</si>
  <si>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</si>
  <si>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</si>
  <si>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</si>
  <si>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</si>
  <si>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</si>
  <si>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</si>
  <si>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</si>
  <si>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</si>
  <si>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</si>
  <si>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</si>
  <si>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</si>
  <si>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</si>
  <si>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</si>
  <si>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</si>
  <si>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</si>
  <si>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</si>
  <si>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</si>
  <si>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</si>
  <si>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</si>
  <si>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</si>
  <si>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</si>
  <si>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</si>
  <si>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</si>
  <si>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</si>
  <si>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</si>
  <si>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</si>
  <si>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</si>
  <si>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</si>
  <si>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</si>
  <si>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</si>
  <si>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Standard Final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</si>
  <si>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</si>
  <si>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Standard Final Volume (mL):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</si>
  <si>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Standard Volume (mL: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</si>
  <si>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</si>
  <si>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</si>
  <si>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</si>
  <si>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</si>
  <si>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</si>
  <si>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</si>
  <si>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</si>
  <si>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</si>
  <si>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</si>
  <si>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</si>
  <si>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</si>
  <si>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</si>
  <si>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</si>
  <si>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</si>
  <si>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</si>
  <si>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</si>
  <si>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</si>
  <si>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</si>
  <si>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</si>
  <si>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</si>
  <si>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</si>
  <si>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</si>
  <si>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</si>
  <si>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</si>
  <si>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</si>
  <si>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Final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</si>
  <si>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Sample Transfer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</si>
  <si>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Sample Final Volume (mL):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</si>
  <si>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</si>
  <si>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</si>
  <si>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Sample Final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</si>
  <si>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Sample Transfer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</si>
  <si>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</si>
  <si>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</si>
  <si>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</si>
  <si>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</si>
  <si>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</si>
  <si>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</si>
  <si>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</si>
  <si>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</si>
  <si>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</si>
  <si>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</si>
  <si>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</si>
  <si>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</si>
  <si>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</si>
  <si>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</si>
  <si>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</si>
  <si>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</si>
  <si>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</si>
  <si>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</si>
  <si>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</si>
  <si>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</si>
  <si>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</si>
  <si>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</si>
  <si>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</si>
  <si>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</si>
  <si>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</si>
  <si>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</si>
  <si>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</si>
  <si>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</si>
  <si>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</si>
  <si>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Nevirapine</t>
  </si>
  <si>
    <t>N1-6</t>
  </si>
  <si>
    <t xml:space="preserve">DR. </t>
  </si>
  <si>
    <t>PETER NGUMO</t>
  </si>
  <si>
    <t>NEVIRAPINE 200 mg TABLETS USP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</si>
</sst>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7" x14ac:knownFonts="1">
    <font>
      <sz val="10"/>
      <color rgb="FF000000"/>
      <name val="Arial"/>
    </font>
    <font>
      <b/>
      <sz val="12"/>
      <color indexed="8"/>
      <name val="Book Antiqua"/>
    </font>
    <font>
      <sz val="14"/>
      <color indexed="8"/>
      <name val="Book Antiqua"/>
    </font>
    <font>
      <vertAlign val="superscript"/>
      <sz val="14"/>
      <color indexed="8"/>
      <name val="Book Antiqua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7"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Fill="1"/>
    <xf numFmtId="2" fontId="7" fillId="0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9" fillId="2" borderId="3" xfId="0" applyFont="1" applyFill="1" applyBorder="1" applyAlignment="1" applyProtection="1">
      <alignment horizontal="center"/>
      <protection locked="0"/>
    </xf>
    <xf numFmtId="2" fontId="9" fillId="2" borderId="3" xfId="0" applyNumberFormat="1" applyFont="1" applyFill="1" applyBorder="1" applyAlignment="1" applyProtection="1">
      <alignment horizontal="center"/>
      <protection locked="0"/>
    </xf>
    <xf numFmtId="2" fontId="9" fillId="2" borderId="4" xfId="0" applyNumberFormat="1" applyFont="1" applyFill="1" applyBorder="1" applyAlignment="1" applyProtection="1">
      <alignment horizontal="center"/>
      <protection locked="0"/>
    </xf>
    <xf numFmtId="0" fontId="9" fillId="2" borderId="5" xfId="0" applyFont="1" applyFill="1" applyBorder="1" applyAlignment="1" applyProtection="1">
      <alignment horizontal="center"/>
      <protection locked="0"/>
    </xf>
    <xf numFmtId="2" fontId="9" fillId="2" borderId="5" xfId="0" applyNumberFormat="1" applyFont="1" applyFill="1" applyBorder="1" applyAlignment="1" applyProtection="1">
      <alignment horizontal="center"/>
      <protection locked="0"/>
    </xf>
    <xf numFmtId="0" fontId="8" fillId="0" borderId="4" xfId="0" applyFont="1" applyFill="1" applyBorder="1"/>
    <xf numFmtId="1" fontId="7" fillId="3" borderId="2" xfId="0" applyNumberFormat="1" applyFont="1" applyFill="1" applyBorder="1" applyAlignment="1">
      <alignment horizontal="center"/>
    </xf>
    <xf numFmtId="1" fontId="7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8" fillId="0" borderId="3" xfId="0" applyFont="1" applyFill="1" applyBorder="1"/>
    <xf numFmtId="10" fontId="7" fillId="4" borderId="1" xfId="0" applyNumberFormat="1" applyFont="1" applyFill="1" applyBorder="1" applyAlignment="1">
      <alignment horizontal="center"/>
    </xf>
    <xf numFmtId="165" fontId="7" fillId="0" borderId="0" xfId="0" applyNumberFormat="1" applyFont="1" applyFill="1" applyAlignment="1">
      <alignment horizontal="center"/>
    </xf>
    <xf numFmtId="0" fontId="8" fillId="0" borderId="6" xfId="0" applyFont="1" applyFill="1" applyBorder="1"/>
    <xf numFmtId="0" fontId="8" fillId="0" borderId="5" xfId="0" applyFont="1" applyFill="1" applyBorder="1"/>
    <xf numFmtId="0" fontId="7" fillId="3" borderId="1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8" fillId="0" borderId="7" xfId="0" applyFont="1" applyFill="1" applyBorder="1"/>
    <xf numFmtId="0" fontId="8" fillId="0" borderId="8" xfId="0" applyFont="1" applyFill="1" applyBorder="1"/>
    <xf numFmtId="0" fontId="8" fillId="0" borderId="0" xfId="0" applyFont="1" applyFill="1"/>
    <xf numFmtId="0" fontId="8" fillId="0" borderId="0" xfId="0" applyFont="1" applyFill="1" applyAlignment="1" applyProtection="1">
      <alignment horizontal="left"/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5" fillId="0" borderId="9" xfId="0" applyFont="1" applyFill="1" applyBorder="1"/>
    <xf numFmtId="0" fontId="5" fillId="0" borderId="0" xfId="0" applyFont="1" applyFill="1" applyAlignment="1">
      <alignment horizontal="center"/>
    </xf>
    <xf numFmtId="10" fontId="5" fillId="0" borderId="9" xfId="0" applyNumberFormat="1" applyFont="1" applyFill="1" applyBorder="1"/>
    <xf numFmtId="0" fontId="0" fillId="0" borderId="0" xfId="0" applyFill="1"/>
    <xf numFmtId="0" fontId="4" fillId="0" borderId="1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7" xfId="0" applyFont="1" applyFill="1" applyBorder="1"/>
    <xf numFmtId="0" fontId="5" fillId="0" borderId="7" xfId="0" applyFont="1" applyFill="1" applyBorder="1"/>
    <xf numFmtId="0" fontId="4" fillId="0" borderId="11" xfId="0" applyFont="1" applyFill="1" applyBorder="1"/>
    <xf numFmtId="0" fontId="5" fillId="0" borderId="11" xfId="0" applyFont="1" applyFill="1" applyBorder="1"/>
    <xf numFmtId="0" fontId="5" fillId="0" borderId="0" xfId="0" applyFont="1" applyFill="1" applyAlignment="1">
      <alignment horizontal="center"/>
    </xf>
    <xf numFmtId="10" fontId="8" fillId="0" borderId="0" xfId="0" applyNumberFormat="1" applyFont="1" applyFill="1" applyAlignment="1">
      <alignment horizontal="center"/>
    </xf>
    <xf numFmtId="166" fontId="5" fillId="0" borderId="0" xfId="0" applyNumberFormat="1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64" fontId="4" fillId="0" borderId="0" xfId="0" applyNumberFormat="1" applyFont="1" applyFill="1"/>
    <xf numFmtId="2" fontId="10" fillId="0" borderId="0" xfId="0" applyNumberFormat="1" applyFont="1" applyFill="1"/>
    <xf numFmtId="0" fontId="6" fillId="0" borderId="0" xfId="0" applyFont="1" applyFill="1" applyAlignment="1">
      <alignment horizontal="left"/>
    </xf>
    <xf numFmtId="0" fontId="8" fillId="0" borderId="0" xfId="0" applyFont="1" applyFill="1"/>
    <xf numFmtId="0" fontId="8" fillId="0" borderId="0" xfId="0" applyFont="1" applyFill="1"/>
    <xf numFmtId="0" fontId="7" fillId="0" borderId="0" xfId="0" applyFont="1" applyFill="1" applyAlignment="1">
      <alignment horizontal="right"/>
    </xf>
    <xf numFmtId="0" fontId="8" fillId="0" borderId="9" xfId="0" applyFont="1" applyFill="1" applyBorder="1"/>
    <xf numFmtId="0" fontId="8" fillId="0" borderId="0" xfId="0" applyFont="1" applyFill="1" applyAlignment="1">
      <alignment horizontal="center"/>
    </xf>
    <xf numFmtId="10" fontId="8" fillId="0" borderId="9" xfId="0" applyNumberFormat="1" applyFont="1" applyFill="1" applyBorder="1"/>
    <xf numFmtId="0" fontId="11" fillId="0" borderId="0" xfId="0" applyFont="1" applyFill="1"/>
    <xf numFmtId="0" fontId="7" fillId="0" borderId="10" xfId="0" applyFont="1" applyFill="1" applyBorder="1"/>
    <xf numFmtId="0" fontId="7" fillId="0" borderId="10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0" fontId="8" fillId="0" borderId="7" xfId="0" applyFont="1" applyFill="1" applyBorder="1"/>
    <xf numFmtId="0" fontId="8" fillId="0" borderId="0" xfId="0" applyFont="1" applyFill="1"/>
    <xf numFmtId="0" fontId="8" fillId="0" borderId="7" xfId="0" applyFont="1" applyFill="1" applyBorder="1"/>
    <xf numFmtId="0" fontId="7" fillId="0" borderId="11" xfId="0" applyFont="1" applyFill="1" applyBorder="1"/>
    <xf numFmtId="0" fontId="7" fillId="0" borderId="0" xfId="0" applyFont="1" applyFill="1"/>
    <xf numFmtId="0" fontId="8" fillId="0" borderId="11" xfId="0" applyFont="1" applyFill="1" applyBorder="1"/>
    <xf numFmtId="167" fontId="8" fillId="0" borderId="0" xfId="0" applyNumberFormat="1" applyFont="1" applyFill="1"/>
    <xf numFmtId="166" fontId="8" fillId="0" borderId="0" xfId="0" applyNumberFormat="1" applyFont="1" applyFill="1" applyAlignment="1">
      <alignment horizontal="center"/>
    </xf>
    <xf numFmtId="2" fontId="7" fillId="0" borderId="0" xfId="0" applyNumberFormat="1" applyFont="1" applyFill="1"/>
    <xf numFmtId="10" fontId="5" fillId="0" borderId="0" xfId="0" applyNumberFormat="1" applyFont="1" applyFill="1"/>
    <xf numFmtId="2" fontId="7" fillId="0" borderId="12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right" vertical="center"/>
    </xf>
    <xf numFmtId="166" fontId="8" fillId="0" borderId="12" xfId="0" applyNumberFormat="1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wrapText="1"/>
    </xf>
    <xf numFmtId="164" fontId="7" fillId="0" borderId="12" xfId="0" applyNumberFormat="1" applyFont="1" applyFill="1" applyBorder="1" applyAlignment="1">
      <alignment horizontal="center" wrapText="1"/>
    </xf>
    <xf numFmtId="10" fontId="8" fillId="0" borderId="13" xfId="0" applyNumberFormat="1" applyFont="1" applyFill="1" applyBorder="1" applyAlignment="1">
      <alignment horizontal="center"/>
    </xf>
    <xf numFmtId="10" fontId="8" fillId="0" borderId="14" xfId="0" applyNumberFormat="1" applyFont="1" applyFill="1" applyBorder="1" applyAlignment="1">
      <alignment horizontal="center"/>
    </xf>
    <xf numFmtId="10" fontId="8" fillId="0" borderId="15" xfId="0" applyNumberFormat="1" applyFont="1" applyFill="1" applyBorder="1" applyAlignment="1">
      <alignment horizontal="center"/>
    </xf>
    <xf numFmtId="0" fontId="6" fillId="0" borderId="0" xfId="0" applyFont="1" applyFill="1"/>
    <xf numFmtId="0" fontId="12" fillId="0" borderId="0" xfId="0" applyFont="1" applyFill="1" applyAlignment="1">
      <alignment wrapText="1"/>
    </xf>
    <xf numFmtId="0" fontId="7" fillId="0" borderId="12" xfId="0" applyFont="1" applyFill="1" applyBorder="1" applyAlignment="1">
      <alignment horizontal="center" vertical="center"/>
    </xf>
    <xf numFmtId="165" fontId="7" fillId="0" borderId="16" xfId="0" applyNumberFormat="1" applyFont="1" applyFill="1" applyBorder="1" applyAlignment="1">
      <alignment horizontal="center"/>
    </xf>
    <xf numFmtId="165" fontId="7" fillId="0" borderId="17" xfId="0" applyNumberFormat="1" applyFont="1" applyFill="1" applyBorder="1" applyAlignment="1">
      <alignment horizontal="center"/>
    </xf>
    <xf numFmtId="2" fontId="8" fillId="2" borderId="14" xfId="0" applyNumberFormat="1" applyFont="1" applyFill="1" applyBorder="1" applyProtection="1">
      <protection locked="0"/>
    </xf>
    <xf numFmtId="2" fontId="8" fillId="2" borderId="15" xfId="0" applyNumberFormat="1" applyFont="1" applyFill="1" applyBorder="1" applyProtection="1">
      <protection locked="0"/>
    </xf>
    <xf numFmtId="167" fontId="8" fillId="0" borderId="0" xfId="0" applyNumberFormat="1" applyFont="1" applyFill="1" applyAlignment="1">
      <alignment horizontal="center"/>
    </xf>
    <xf numFmtId="0" fontId="13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15" fillId="0" borderId="0" xfId="0" applyFont="1" applyFill="1" applyAlignment="1" applyProtection="1">
      <alignment horizontal="left"/>
      <protection locked="0"/>
    </xf>
    <xf numFmtId="0" fontId="16" fillId="0" borderId="0" xfId="0" applyFont="1" applyFill="1"/>
    <xf numFmtId="0" fontId="16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Protection="1">
      <protection locked="0"/>
    </xf>
    <xf numFmtId="168" fontId="16" fillId="2" borderId="0" xfId="0" applyNumberFormat="1" applyFont="1" applyFill="1" applyAlignment="1" applyProtection="1">
      <alignment horizontal="center"/>
      <protection locked="0"/>
    </xf>
    <xf numFmtId="169" fontId="13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left"/>
    </xf>
    <xf numFmtId="0" fontId="14" fillId="0" borderId="0" xfId="0" applyFont="1" applyFill="1" applyAlignment="1">
      <alignment horizontal="right"/>
    </xf>
    <xf numFmtId="0" fontId="13" fillId="0" borderId="0" xfId="0" applyFont="1" applyFill="1" applyAlignment="1">
      <alignment horizontal="right"/>
    </xf>
    <xf numFmtId="0" fontId="15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/>
      <protection locked="0"/>
    </xf>
    <xf numFmtId="0" fontId="18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center"/>
    </xf>
    <xf numFmtId="0" fontId="19" fillId="0" borderId="0" xfId="0" applyFont="1" applyFill="1"/>
    <xf numFmtId="0" fontId="20" fillId="0" borderId="0" xfId="0" applyFont="1" applyFill="1"/>
    <xf numFmtId="2" fontId="15" fillId="2" borderId="0" xfId="0" applyNumberFormat="1" applyFont="1" applyFill="1" applyAlignment="1" applyProtection="1">
      <alignment horizontal="center"/>
      <protection locked="0"/>
    </xf>
    <xf numFmtId="0" fontId="14" fillId="0" borderId="0" xfId="0" applyFont="1" applyFill="1" applyAlignment="1">
      <alignment vertical="center" wrapText="1"/>
    </xf>
    <xf numFmtId="0" fontId="21" fillId="0" borderId="0" xfId="0" applyFont="1" applyFill="1"/>
    <xf numFmtId="2" fontId="14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left" vertical="center" wrapText="1"/>
    </xf>
    <xf numFmtId="170" fontId="14" fillId="0" borderId="0" xfId="0" applyNumberFormat="1" applyFont="1" applyFill="1" applyAlignment="1">
      <alignment horizontal="center"/>
    </xf>
    <xf numFmtId="0" fontId="13" fillId="0" borderId="18" xfId="0" applyFont="1" applyFill="1" applyBorder="1" applyAlignment="1">
      <alignment horizontal="right"/>
    </xf>
    <xf numFmtId="0" fontId="15" fillId="2" borderId="19" xfId="0" applyFont="1" applyFill="1" applyBorder="1" applyAlignment="1" applyProtection="1">
      <alignment horizontal="center"/>
      <protection locked="0"/>
    </xf>
    <xf numFmtId="0" fontId="13" fillId="0" borderId="20" xfId="0" applyFont="1" applyFill="1" applyBorder="1" applyAlignment="1">
      <alignment horizontal="right"/>
    </xf>
    <xf numFmtId="0" fontId="15" fillId="2" borderId="21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>
      <alignment horizontal="center"/>
    </xf>
    <xf numFmtId="0" fontId="14" fillId="0" borderId="22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/>
    </xf>
    <xf numFmtId="0" fontId="15" fillId="2" borderId="26" xfId="0" applyFont="1" applyFill="1" applyBorder="1" applyAlignment="1" applyProtection="1">
      <alignment horizontal="center"/>
      <protection locked="0"/>
    </xf>
    <xf numFmtId="171" fontId="13" fillId="0" borderId="23" xfId="0" applyNumberFormat="1" applyFont="1" applyFill="1" applyBorder="1" applyAlignment="1">
      <alignment horizontal="center"/>
    </xf>
    <xf numFmtId="171" fontId="13" fillId="0" borderId="27" xfId="0" applyNumberFormat="1" applyFont="1" applyFill="1" applyBorder="1" applyAlignment="1">
      <alignment horizontal="center"/>
    </xf>
    <xf numFmtId="0" fontId="21" fillId="0" borderId="13" xfId="0" applyFont="1" applyFill="1" applyBorder="1"/>
    <xf numFmtId="0" fontId="13" fillId="0" borderId="21" xfId="0" applyFont="1" applyFill="1" applyBorder="1" applyAlignment="1">
      <alignment horizontal="center"/>
    </xf>
    <xf numFmtId="0" fontId="15" fillId="2" borderId="20" xfId="0" applyFont="1" applyFill="1" applyBorder="1" applyAlignment="1" applyProtection="1">
      <alignment horizontal="center"/>
      <protection locked="0"/>
    </xf>
    <xf numFmtId="171" fontId="13" fillId="0" borderId="28" xfId="0" applyNumberFormat="1" applyFont="1" applyFill="1" applyBorder="1" applyAlignment="1">
      <alignment horizontal="center"/>
    </xf>
    <xf numFmtId="171" fontId="13" fillId="0" borderId="29" xfId="0" applyNumberFormat="1" applyFont="1" applyFill="1" applyBorder="1" applyAlignment="1">
      <alignment horizontal="center"/>
    </xf>
    <xf numFmtId="0" fontId="13" fillId="0" borderId="0" xfId="0" applyFont="1" applyFill="1"/>
    <xf numFmtId="0" fontId="13" fillId="0" borderId="30" xfId="0" applyFont="1" applyFill="1" applyBorder="1" applyAlignment="1">
      <alignment horizontal="center"/>
    </xf>
    <xf numFmtId="0" fontId="15" fillId="2" borderId="31" xfId="0" applyFont="1" applyFill="1" applyBorder="1" applyAlignment="1" applyProtection="1">
      <alignment horizontal="center"/>
      <protection locked="0"/>
    </xf>
    <xf numFmtId="171" fontId="13" fillId="0" borderId="32" xfId="0" applyNumberFormat="1" applyFont="1" applyFill="1" applyBorder="1" applyAlignment="1">
      <alignment horizontal="center"/>
    </xf>
    <xf numFmtId="171" fontId="13" fillId="0" borderId="33" xfId="0" applyNumberFormat="1" applyFont="1" applyFill="1" applyBorder="1" applyAlignment="1">
      <alignment horizontal="center"/>
    </xf>
    <xf numFmtId="0" fontId="13" fillId="0" borderId="15" xfId="0" applyFont="1" applyFill="1" applyBorder="1"/>
    <xf numFmtId="0" fontId="13" fillId="0" borderId="21" xfId="0" applyFont="1" applyFill="1" applyBorder="1" applyAlignment="1">
      <alignment horizontal="right"/>
    </xf>
    <xf numFmtId="1" fontId="14" fillId="5" borderId="34" xfId="0" applyNumberFormat="1" applyFont="1" applyFill="1" applyBorder="1" applyAlignment="1">
      <alignment horizontal="center"/>
    </xf>
    <xf numFmtId="171" fontId="14" fillId="5" borderId="35" xfId="0" applyNumberFormat="1" applyFont="1" applyFill="1" applyBorder="1" applyAlignment="1">
      <alignment horizontal="center"/>
    </xf>
    <xf numFmtId="171" fontId="14" fillId="5" borderId="36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13" fillId="0" borderId="37" xfId="0" applyFont="1" applyFill="1" applyBorder="1" applyAlignment="1">
      <alignment horizontal="right"/>
    </xf>
    <xf numFmtId="0" fontId="15" fillId="2" borderId="16" xfId="0" applyFont="1" applyFill="1" applyBorder="1" applyAlignment="1" applyProtection="1">
      <alignment horizontal="center"/>
      <protection locked="0"/>
    </xf>
    <xf numFmtId="0" fontId="13" fillId="0" borderId="11" xfId="0" applyFont="1" applyFill="1" applyBorder="1" applyAlignment="1">
      <alignment horizontal="right"/>
    </xf>
    <xf numFmtId="2" fontId="13" fillId="5" borderId="38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21" xfId="0" applyFont="1" applyFill="1" applyBorder="1" applyAlignment="1">
      <alignment horizontal="center"/>
    </xf>
    <xf numFmtId="2" fontId="13" fillId="6" borderId="38" xfId="0" applyNumberFormat="1" applyFont="1" applyFill="1" applyBorder="1" applyAlignment="1">
      <alignment horizontal="center"/>
    </xf>
    <xf numFmtId="2" fontId="13" fillId="0" borderId="0" xfId="0" applyNumberFormat="1" applyFont="1" applyFill="1" applyAlignment="1">
      <alignment horizontal="center"/>
    </xf>
    <xf numFmtId="166" fontId="13" fillId="5" borderId="38" xfId="0" applyNumberFormat="1" applyFont="1" applyFill="1" applyBorder="1" applyAlignment="1">
      <alignment horizontal="center"/>
    </xf>
    <xf numFmtId="166" fontId="13" fillId="0" borderId="0" xfId="0" applyNumberFormat="1" applyFont="1" applyFill="1" applyAlignment="1">
      <alignment horizontal="center"/>
    </xf>
    <xf numFmtId="166" fontId="13" fillId="5" borderId="17" xfId="0" applyNumberFormat="1" applyFont="1" applyFill="1" applyBorder="1" applyAlignment="1">
      <alignment horizontal="center"/>
    </xf>
    <xf numFmtId="0" fontId="13" fillId="0" borderId="39" xfId="0" applyFont="1" applyFill="1" applyBorder="1" applyAlignment="1">
      <alignment horizontal="right"/>
    </xf>
    <xf numFmtId="166" fontId="15" fillId="2" borderId="38" xfId="0" applyNumberFormat="1" applyFont="1" applyFill="1" applyBorder="1" applyAlignment="1" applyProtection="1">
      <alignment horizontal="center"/>
      <protection locked="0"/>
    </xf>
    <xf numFmtId="166" fontId="13" fillId="0" borderId="0" xfId="0" applyNumberFormat="1" applyFont="1" applyFill="1"/>
    <xf numFmtId="0" fontId="13" fillId="0" borderId="26" xfId="0" applyFont="1" applyFill="1" applyBorder="1" applyAlignment="1">
      <alignment horizontal="right"/>
    </xf>
    <xf numFmtId="1" fontId="13" fillId="0" borderId="0" xfId="0" applyNumberFormat="1" applyFont="1" applyFill="1" applyAlignment="1">
      <alignment horizontal="center"/>
    </xf>
    <xf numFmtId="0" fontId="13" fillId="0" borderId="15" xfId="0" applyFont="1" applyFill="1" applyBorder="1" applyAlignment="1">
      <alignment horizontal="right"/>
    </xf>
    <xf numFmtId="2" fontId="13" fillId="5" borderId="15" xfId="0" applyNumberFormat="1" applyFont="1" applyFill="1" applyBorder="1" applyAlignment="1">
      <alignment horizontal="center"/>
    </xf>
    <xf numFmtId="171" fontId="14" fillId="6" borderId="13" xfId="0" applyNumberFormat="1" applyFont="1" applyFill="1" applyBorder="1" applyAlignment="1">
      <alignment horizontal="center"/>
    </xf>
    <xf numFmtId="171" fontId="13" fillId="0" borderId="0" xfId="0" applyNumberFormat="1" applyFont="1" applyFill="1" applyAlignment="1">
      <alignment horizontal="center"/>
    </xf>
    <xf numFmtId="10" fontId="13" fillId="5" borderId="38" xfId="0" applyNumberFormat="1" applyFont="1" applyFill="1" applyBorder="1" applyAlignment="1">
      <alignment horizontal="center"/>
    </xf>
    <xf numFmtId="0" fontId="13" fillId="0" borderId="40" xfId="0" applyFont="1" applyFill="1" applyBorder="1" applyAlignment="1">
      <alignment horizontal="right"/>
    </xf>
    <xf numFmtId="0" fontId="13" fillId="6" borderId="15" xfId="0" applyFont="1" applyFill="1" applyBorder="1" applyAlignment="1">
      <alignment horizontal="center"/>
    </xf>
    <xf numFmtId="0" fontId="17" fillId="0" borderId="0" xfId="0" applyFont="1" applyFill="1"/>
    <xf numFmtId="0" fontId="14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172" fontId="15" fillId="2" borderId="0" xfId="0" applyNumberFormat="1" applyFont="1" applyFill="1" applyAlignment="1" applyProtection="1">
      <alignment horizontal="center"/>
      <protection locked="0"/>
    </xf>
    <xf numFmtId="0" fontId="13" fillId="0" borderId="0" xfId="0" applyFont="1" applyFill="1" applyAlignment="1">
      <alignment horizontal="center"/>
    </xf>
    <xf numFmtId="2" fontId="14" fillId="0" borderId="13" xfId="0" applyNumberFormat="1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15" fillId="2" borderId="18" xfId="0" applyFont="1" applyFill="1" applyBorder="1" applyAlignment="1" applyProtection="1">
      <alignment horizontal="center"/>
      <protection locked="0"/>
    </xf>
    <xf numFmtId="0" fontId="13" fillId="0" borderId="14" xfId="0" applyFont="1" applyFill="1" applyBorder="1" applyAlignment="1">
      <alignment horizontal="center"/>
    </xf>
    <xf numFmtId="1" fontId="15" fillId="2" borderId="20" xfId="0" applyNumberFormat="1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>
      <alignment horizontal="center"/>
    </xf>
    <xf numFmtId="0" fontId="15" fillId="2" borderId="40" xfId="0" applyFont="1" applyFill="1" applyBorder="1" applyAlignment="1" applyProtection="1">
      <alignment horizontal="center"/>
      <protection locked="0"/>
    </xf>
    <xf numFmtId="0" fontId="16" fillId="0" borderId="21" xfId="0" applyFont="1" applyFill="1" applyBorder="1" applyAlignment="1">
      <alignment horizontal="center"/>
    </xf>
    <xf numFmtId="2" fontId="16" fillId="0" borderId="41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42" xfId="0" applyFont="1" applyFill="1" applyBorder="1" applyAlignment="1">
      <alignment horizontal="right"/>
    </xf>
    <xf numFmtId="0" fontId="13" fillId="0" borderId="38" xfId="0" applyFont="1" applyFill="1" applyBorder="1" applyAlignment="1">
      <alignment horizontal="right"/>
    </xf>
    <xf numFmtId="2" fontId="13" fillId="0" borderId="0" xfId="0" applyNumberFormat="1" applyFont="1" applyFill="1" applyAlignment="1">
      <alignment horizontal="center"/>
    </xf>
    <xf numFmtId="0" fontId="13" fillId="0" borderId="17" xfId="0" applyFont="1" applyFill="1" applyBorder="1" applyAlignment="1">
      <alignment horizontal="right"/>
    </xf>
    <xf numFmtId="0" fontId="15" fillId="6" borderId="43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13" fillId="0" borderId="0" xfId="0" applyFont="1" applyFill="1"/>
    <xf numFmtId="165" fontId="15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2" borderId="0" xfId="0" applyFont="1" applyFill="1" applyAlignment="1" applyProtection="1">
      <alignment horizontal="center"/>
      <protection locked="0"/>
    </xf>
    <xf numFmtId="0" fontId="14" fillId="0" borderId="44" xfId="0" applyFont="1" applyFill="1" applyBorder="1" applyAlignment="1">
      <alignment horizontal="center"/>
    </xf>
    <xf numFmtId="0" fontId="14" fillId="0" borderId="37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0" fontId="13" fillId="0" borderId="45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171" fontId="15" fillId="2" borderId="31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>
      <alignment horizontal="right"/>
    </xf>
    <xf numFmtId="1" fontId="14" fillId="5" borderId="46" xfId="0" applyNumberFormat="1" applyFont="1" applyFill="1" applyBorder="1" applyAlignment="1">
      <alignment horizontal="center"/>
    </xf>
    <xf numFmtId="1" fontId="14" fillId="5" borderId="47" xfId="0" applyNumberFormat="1" applyFont="1" applyFill="1" applyBorder="1" applyAlignment="1">
      <alignment horizontal="center"/>
    </xf>
    <xf numFmtId="171" fontId="14" fillId="5" borderId="15" xfId="0" applyNumberFormat="1" applyFont="1" applyFill="1" applyBorder="1" applyAlignment="1">
      <alignment horizontal="center"/>
    </xf>
    <xf numFmtId="0" fontId="13" fillId="0" borderId="48" xfId="0" applyFont="1" applyFill="1" applyBorder="1" applyAlignment="1">
      <alignment horizontal="right"/>
    </xf>
    <xf numFmtId="0" fontId="15" fillId="2" borderId="49" xfId="0" applyFont="1" applyFill="1" applyBorder="1" applyAlignment="1" applyProtection="1">
      <alignment horizontal="center"/>
      <protection locked="0"/>
    </xf>
    <xf numFmtId="0" fontId="13" fillId="0" borderId="22" xfId="0" applyFont="1" applyFill="1" applyBorder="1" applyAlignment="1">
      <alignment horizontal="right"/>
    </xf>
    <xf numFmtId="2" fontId="13" fillId="5" borderId="24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2" fontId="13" fillId="6" borderId="24" xfId="0" applyNumberFormat="1" applyFont="1" applyFill="1" applyBorder="1" applyAlignment="1">
      <alignment horizontal="center"/>
    </xf>
    <xf numFmtId="166" fontId="13" fillId="5" borderId="24" xfId="0" applyNumberFormat="1" applyFont="1" applyFill="1" applyBorder="1" applyAlignment="1">
      <alignment horizontal="center"/>
    </xf>
    <xf numFmtId="0" fontId="5" fillId="0" borderId="0" xfId="0" applyFont="1" applyFill="1"/>
    <xf numFmtId="166" fontId="13" fillId="6" borderId="24" xfId="0" applyNumberFormat="1" applyFont="1" applyFill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13" fillId="0" borderId="50" xfId="0" applyFont="1" applyFill="1" applyBorder="1" applyAlignment="1">
      <alignment horizontal="right"/>
    </xf>
    <xf numFmtId="2" fontId="13" fillId="6" borderId="27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 wrapText="1"/>
    </xf>
    <xf numFmtId="0" fontId="13" fillId="0" borderId="16" xfId="0" applyFont="1" applyFill="1" applyBorder="1" applyAlignment="1">
      <alignment horizontal="right"/>
    </xf>
    <xf numFmtId="171" fontId="14" fillId="6" borderId="16" xfId="0" applyNumberFormat="1" applyFont="1" applyFill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10" fontId="13" fillId="0" borderId="0" xfId="0" applyNumberFormat="1" applyFont="1" applyFill="1" applyAlignment="1">
      <alignment horizontal="center"/>
    </xf>
    <xf numFmtId="10" fontId="14" fillId="5" borderId="38" xfId="0" applyNumberFormat="1" applyFont="1" applyFill="1" applyBorder="1" applyAlignment="1">
      <alignment horizontal="center"/>
    </xf>
    <xf numFmtId="0" fontId="14" fillId="6" borderId="17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 wrapText="1"/>
    </xf>
    <xf numFmtId="0" fontId="13" fillId="0" borderId="20" xfId="0" applyFont="1" applyFill="1" applyBorder="1" applyAlignment="1">
      <alignment horizontal="center"/>
    </xf>
    <xf numFmtId="0" fontId="13" fillId="0" borderId="20" xfId="0" applyFont="1" applyFill="1" applyBorder="1"/>
    <xf numFmtId="10" fontId="15" fillId="5" borderId="24" xfId="0" applyNumberFormat="1" applyFont="1" applyFill="1" applyBorder="1" applyAlignment="1">
      <alignment horizontal="center"/>
    </xf>
    <xf numFmtId="0" fontId="13" fillId="0" borderId="40" xfId="0" applyFont="1" applyFill="1" applyBorder="1"/>
    <xf numFmtId="0" fontId="22" fillId="0" borderId="9" xfId="0" applyFont="1" applyFill="1" applyBorder="1" applyAlignment="1">
      <alignment horizontal="left" vertical="center" wrapText="1"/>
    </xf>
    <xf numFmtId="0" fontId="13" fillId="0" borderId="9" xfId="0" applyFont="1" applyFill="1" applyBorder="1"/>
    <xf numFmtId="0" fontId="13" fillId="0" borderId="10" xfId="0" applyFont="1" applyFill="1" applyBorder="1" applyAlignment="1">
      <alignment horizontal="center"/>
    </xf>
    <xf numFmtId="0" fontId="14" fillId="0" borderId="0" xfId="0" applyFont="1" applyFill="1" applyAlignment="1">
      <alignment horizontal="right"/>
    </xf>
    <xf numFmtId="0" fontId="13" fillId="0" borderId="7" xfId="0" applyFont="1" applyFill="1" applyBorder="1"/>
    <xf numFmtId="0" fontId="13" fillId="0" borderId="7" xfId="0" applyFont="1" applyFill="1" applyBorder="1"/>
    <xf numFmtId="0" fontId="14" fillId="0" borderId="11" xfId="0" applyFont="1" applyFill="1" applyBorder="1"/>
    <xf numFmtId="0" fontId="13" fillId="0" borderId="11" xfId="0" applyFont="1" applyFill="1" applyBorder="1"/>
    <xf numFmtId="0" fontId="22" fillId="0" borderId="0" xfId="0" applyFont="1" applyFill="1" applyAlignment="1">
      <alignment horizontal="right" vertical="center" wrapText="1"/>
    </xf>
    <xf numFmtId="0" fontId="15" fillId="0" borderId="0" xfId="0" applyFont="1" applyFill="1" applyAlignment="1" applyProtection="1">
      <alignment horizontal="right"/>
      <protection locked="0"/>
    </xf>
    <xf numFmtId="166" fontId="14" fillId="0" borderId="0" xfId="0" applyNumberFormat="1" applyFont="1" applyFill="1" applyAlignment="1" applyProtection="1">
      <alignment horizontal="center"/>
      <protection locked="0"/>
    </xf>
    <xf numFmtId="166" fontId="13" fillId="0" borderId="18" xfId="0" applyNumberFormat="1" applyFont="1" applyFill="1" applyBorder="1" applyAlignment="1">
      <alignment horizontal="center"/>
    </xf>
    <xf numFmtId="166" fontId="13" fillId="0" borderId="20" xfId="0" applyNumberFormat="1" applyFont="1" applyFill="1" applyBorder="1" applyAlignment="1">
      <alignment horizontal="center"/>
    </xf>
    <xf numFmtId="166" fontId="13" fillId="0" borderId="13" xfId="0" applyNumberFormat="1" applyFont="1" applyFill="1" applyBorder="1" applyAlignment="1">
      <alignment horizontal="center"/>
    </xf>
    <xf numFmtId="166" fontId="13" fillId="0" borderId="14" xfId="0" applyNumberFormat="1" applyFont="1" applyFill="1" applyBorder="1" applyAlignment="1">
      <alignment horizontal="center"/>
    </xf>
    <xf numFmtId="166" fontId="13" fillId="0" borderId="15" xfId="0" applyNumberFormat="1" applyFont="1" applyFill="1" applyBorder="1" applyAlignment="1">
      <alignment horizontal="center"/>
    </xf>
    <xf numFmtId="10" fontId="15" fillId="5" borderId="51" xfId="0" applyNumberFormat="1" applyFont="1" applyFill="1" applyBorder="1" applyAlignment="1">
      <alignment horizontal="center"/>
    </xf>
    <xf numFmtId="2" fontId="15" fillId="6" borderId="30" xfId="0" applyNumberFormat="1" applyFont="1" applyFill="1" applyBorder="1" applyAlignment="1">
      <alignment horizontal="center"/>
    </xf>
    <xf numFmtId="0" fontId="16" fillId="0" borderId="0" xfId="0" applyFont="1" applyFill="1"/>
    <xf numFmtId="10" fontId="15" fillId="5" borderId="51" xfId="0" applyNumberFormat="1" applyFont="1" applyFill="1" applyBorder="1" applyAlignment="1">
      <alignment horizontal="center"/>
    </xf>
    <xf numFmtId="171" fontId="13" fillId="0" borderId="16" xfId="0" applyNumberFormat="1" applyFont="1" applyFill="1" applyBorder="1" applyAlignment="1">
      <alignment horizontal="right"/>
    </xf>
    <xf numFmtId="0" fontId="13" fillId="0" borderId="14" xfId="0" applyFont="1" applyFill="1" applyBorder="1" applyAlignment="1">
      <alignment horizontal="right"/>
    </xf>
    <xf numFmtId="2" fontId="15" fillId="6" borderId="52" xfId="0" applyNumberFormat="1" applyFont="1" applyFill="1" applyBorder="1" applyAlignment="1">
      <alignment horizontal="center"/>
    </xf>
    <xf numFmtId="0" fontId="13" fillId="0" borderId="13" xfId="0" applyFont="1" applyFill="1" applyBorder="1"/>
    <xf numFmtId="0" fontId="15" fillId="6" borderId="25" xfId="0" applyFont="1" applyFill="1" applyBorder="1" applyAlignment="1">
      <alignment horizontal="center"/>
    </xf>
    <xf numFmtId="0" fontId="15" fillId="6" borderId="53" xfId="0" applyFont="1" applyFill="1" applyBorder="1" applyAlignment="1">
      <alignment horizontal="center"/>
    </xf>
    <xf numFmtId="2" fontId="15" fillId="5" borderId="51" xfId="0" applyNumberFormat="1" applyFont="1" applyFill="1" applyBorder="1" applyAlignment="1">
      <alignment horizontal="center"/>
    </xf>
    <xf numFmtId="2" fontId="15" fillId="6" borderId="43" xfId="0" applyNumberFormat="1" applyFont="1" applyFill="1" applyBorder="1" applyAlignment="1">
      <alignment horizontal="center"/>
    </xf>
    <xf numFmtId="166" fontId="13" fillId="0" borderId="40" xfId="0" applyNumberFormat="1" applyFont="1" applyFill="1" applyBorder="1" applyAlignment="1">
      <alignment horizontal="center"/>
    </xf>
    <xf numFmtId="173" fontId="13" fillId="0" borderId="13" xfId="0" applyNumberFormat="1" applyFont="1" applyFill="1" applyBorder="1" applyAlignment="1">
      <alignment horizontal="center" vertical="center"/>
    </xf>
    <xf numFmtId="173" fontId="13" fillId="0" borderId="14" xfId="0" applyNumberFormat="1" applyFont="1" applyFill="1" applyBorder="1" applyAlignment="1">
      <alignment horizontal="center" vertical="center"/>
    </xf>
    <xf numFmtId="173" fontId="13" fillId="0" borderId="15" xfId="0" applyNumberFormat="1" applyFont="1" applyFill="1" applyBorder="1" applyAlignment="1">
      <alignment horizontal="center" vertical="center"/>
    </xf>
    <xf numFmtId="173" fontId="15" fillId="6" borderId="30" xfId="0" applyNumberFormat="1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13" fillId="0" borderId="15" xfId="0" applyFont="1" applyFill="1" applyBorder="1" applyAlignment="1">
      <alignment horizontal="center"/>
    </xf>
    <xf numFmtId="1" fontId="15" fillId="2" borderId="14" xfId="0" applyNumberFormat="1" applyFont="1" applyFill="1" applyBorder="1" applyAlignment="1" applyProtection="1">
      <alignment horizontal="center"/>
      <protection locked="0"/>
    </xf>
    <xf numFmtId="1" fontId="15" fillId="2" borderId="15" xfId="0" applyNumberFormat="1" applyFont="1" applyFill="1" applyBorder="1" applyAlignment="1" applyProtection="1">
      <alignment horizontal="center"/>
      <protection locked="0"/>
    </xf>
    <xf numFmtId="0" fontId="13" fillId="0" borderId="13" xfId="0" applyFont="1" applyFill="1" applyBorder="1" applyAlignment="1">
      <alignment horizontal="center"/>
    </xf>
    <xf numFmtId="1" fontId="15" fillId="2" borderId="13" xfId="0" applyNumberFormat="1" applyFont="1" applyFill="1" applyBorder="1" applyAlignment="1" applyProtection="1">
      <alignment horizontal="center"/>
      <protection locked="0"/>
    </xf>
    <xf numFmtId="173" fontId="13" fillId="0" borderId="19" xfId="0" applyNumberFormat="1" applyFont="1" applyFill="1" applyBorder="1" applyAlignment="1">
      <alignment horizontal="center"/>
    </xf>
    <xf numFmtId="173" fontId="13" fillId="0" borderId="21" xfId="0" applyNumberFormat="1" applyFont="1" applyFill="1" applyBorder="1" applyAlignment="1">
      <alignment horizontal="center"/>
    </xf>
    <xf numFmtId="173" fontId="13" fillId="0" borderId="41" xfId="0" applyNumberFormat="1" applyFont="1" applyFill="1" applyBorder="1" applyAlignment="1">
      <alignment horizontal="center"/>
    </xf>
    <xf numFmtId="173" fontId="13" fillId="0" borderId="21" xfId="0" applyNumberFormat="1" applyFont="1" applyFill="1" applyBorder="1" applyAlignment="1">
      <alignment horizontal="center"/>
    </xf>
    <xf numFmtId="174" fontId="15" fillId="6" borderId="49" xfId="0" applyNumberFormat="1" applyFont="1" applyFill="1" applyBorder="1" applyAlignment="1">
      <alignment horizontal="center"/>
    </xf>
    <xf numFmtId="174" fontId="15" fillId="5" borderId="51" xfId="0" applyNumberFormat="1" applyFont="1" applyFill="1" applyBorder="1" applyAlignment="1">
      <alignment horizontal="center"/>
    </xf>
    <xf numFmtId="174" fontId="15" fillId="6" borderId="43" xfId="0" applyNumberFormat="1" applyFont="1" applyFill="1" applyBorder="1" applyAlignment="1">
      <alignment horizontal="center"/>
    </xf>
    <xf numFmtId="175" fontId="23" fillId="0" borderId="0" xfId="0" applyNumberFormat="1" applyFont="1" applyFill="1" applyAlignment="1">
      <alignment horizontal="center"/>
    </xf>
    <xf numFmtId="174" fontId="15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0" fontId="6" fillId="0" borderId="0" xfId="0" applyFont="1" applyFill="1" applyAlignment="1">
      <alignment horizontal="center"/>
    </xf>
    <xf numFmtId="166" fontId="7" fillId="0" borderId="13" xfId="0" applyNumberFormat="1" applyFont="1" applyFill="1" applyBorder="1" applyAlignment="1">
      <alignment horizontal="center" vertical="center"/>
    </xf>
    <xf numFmtId="166" fontId="7" fillId="0" borderId="15" xfId="0" applyNumberFormat="1" applyFont="1" applyFill="1" applyBorder="1" applyAlignment="1">
      <alignment horizontal="center" vertical="center"/>
    </xf>
    <xf numFmtId="0" fontId="12" fillId="0" borderId="54" xfId="0" applyFont="1" applyFill="1" applyBorder="1" applyAlignment="1">
      <alignment horizontal="center" wrapText="1"/>
    </xf>
    <xf numFmtId="0" fontId="12" fillId="0" borderId="55" xfId="0" applyFont="1" applyFill="1" applyBorder="1" applyAlignment="1">
      <alignment horizontal="center" wrapText="1"/>
    </xf>
    <xf numFmtId="0" fontId="12" fillId="0" borderId="56" xfId="0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horizontal="center"/>
    </xf>
    <xf numFmtId="0" fontId="22" fillId="0" borderId="54" xfId="0" applyFont="1" applyFill="1" applyBorder="1" applyAlignment="1">
      <alignment horizontal="left" vertical="center" wrapText="1"/>
    </xf>
    <xf numFmtId="0" fontId="22" fillId="0" borderId="55" xfId="0" applyFont="1" applyFill="1" applyBorder="1" applyAlignment="1">
      <alignment horizontal="left" vertical="center" wrapText="1"/>
    </xf>
    <xf numFmtId="0" fontId="22" fillId="0" borderId="56" xfId="0" applyFont="1" applyFill="1" applyBorder="1" applyAlignment="1">
      <alignment horizontal="left" vertical="center" wrapText="1"/>
    </xf>
    <xf numFmtId="0" fontId="14" fillId="0" borderId="44" xfId="0" applyFont="1" applyFill="1" applyBorder="1" applyAlignment="1">
      <alignment horizontal="center"/>
    </xf>
    <xf numFmtId="0" fontId="14" fillId="0" borderId="37" xfId="0" applyFont="1" applyFill="1" applyBorder="1" applyAlignment="1">
      <alignment horizontal="center"/>
    </xf>
    <xf numFmtId="0" fontId="14" fillId="0" borderId="52" xfId="0" applyFont="1" applyFill="1" applyBorder="1" applyAlignment="1">
      <alignment horizontal="center"/>
    </xf>
    <xf numFmtId="0" fontId="15" fillId="2" borderId="0" xfId="0" applyFont="1" applyFill="1" applyAlignment="1" applyProtection="1">
      <alignment horizontal="left"/>
      <protection locked="0"/>
    </xf>
    <xf numFmtId="0" fontId="14" fillId="0" borderId="44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5" fillId="2" borderId="0" xfId="0" applyFont="1" applyFill="1" applyAlignment="1" applyProtection="1">
      <alignment horizontal="left" wrapText="1"/>
      <protection locked="0"/>
    </xf>
    <xf numFmtId="0" fontId="22" fillId="0" borderId="54" xfId="0" applyFont="1" applyFill="1" applyBorder="1" applyAlignment="1">
      <alignment horizontal="center"/>
    </xf>
    <xf numFmtId="0" fontId="22" fillId="0" borderId="55" xfId="0" applyFont="1" applyFill="1" applyBorder="1" applyAlignment="1">
      <alignment horizontal="center"/>
    </xf>
    <xf numFmtId="0" fontId="22" fillId="0" borderId="56" xfId="0" applyFont="1" applyFill="1" applyBorder="1" applyAlignment="1">
      <alignment horizontal="center"/>
    </xf>
    <xf numFmtId="0" fontId="26" fillId="0" borderId="10" xfId="0" applyFont="1" applyFill="1" applyBorder="1" applyAlignment="1">
      <alignment horizontal="center" vertical="center"/>
    </xf>
    <xf numFmtId="0" fontId="16" fillId="2" borderId="0" xfId="0" applyFont="1" applyFill="1" applyAlignment="1" applyProtection="1">
      <alignment horizontal="left" wrapText="1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22" fillId="0" borderId="54" xfId="0" applyFont="1" applyFill="1" applyBorder="1" applyAlignment="1">
      <alignment horizontal="justify" vertical="center" wrapText="1"/>
    </xf>
    <xf numFmtId="0" fontId="22" fillId="0" borderId="55" xfId="0" applyFont="1" applyFill="1" applyBorder="1" applyAlignment="1">
      <alignment horizontal="justify" vertical="center" wrapText="1"/>
    </xf>
    <xf numFmtId="0" fontId="22" fillId="0" borderId="56" xfId="0" applyFont="1" applyFill="1" applyBorder="1" applyAlignment="1">
      <alignment horizontal="justify" vertical="center" wrapText="1"/>
    </xf>
    <xf numFmtId="10" fontId="18" fillId="0" borderId="14" xfId="0" applyNumberFormat="1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left" vertical="center" wrapText="1"/>
    </xf>
    <xf numFmtId="0" fontId="22" fillId="0" borderId="19" xfId="0" applyFont="1" applyFill="1" applyBorder="1" applyAlignment="1">
      <alignment horizontal="left" vertical="center" wrapText="1"/>
    </xf>
    <xf numFmtId="0" fontId="22" fillId="0" borderId="40" xfId="0" applyFont="1" applyFill="1" applyBorder="1" applyAlignment="1">
      <alignment horizontal="left" vertical="center" wrapText="1"/>
    </xf>
    <xf numFmtId="0" fontId="22" fillId="0" borderId="41" xfId="0" applyFont="1" applyFill="1" applyBorder="1" applyAlignment="1">
      <alignment horizontal="left" vertical="center" wrapText="1"/>
    </xf>
    <xf numFmtId="0" fontId="14" fillId="0" borderId="10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2" fontId="15" fillId="2" borderId="13" xfId="0" applyNumberFormat="1" applyFont="1" applyFill="1" applyBorder="1" applyAlignment="1" applyProtection="1">
      <alignment horizontal="center" vertical="center"/>
      <protection locked="0"/>
    </xf>
    <xf numFmtId="2" fontId="15" fillId="2" borderId="14" xfId="0" applyNumberFormat="1" applyFont="1" applyFill="1" applyBorder="1" applyAlignment="1" applyProtection="1">
      <alignment horizontal="center" vertical="center"/>
      <protection locked="0"/>
    </xf>
    <xf numFmtId="2" fontId="15" fillId="2" borderId="15" xfId="0" applyNumberFormat="1" applyFont="1" applyFill="1" applyBorder="1" applyAlignment="1" applyProtection="1">
      <alignment horizontal="center" vertical="center"/>
      <protection locked="0"/>
    </xf>
    <xf numFmtId="0" fontId="22" fillId="0" borderId="10" xfId="0" applyFont="1" applyFill="1" applyBorder="1" applyAlignment="1">
      <alignment horizontal="left" vertical="center" wrapText="1"/>
    </xf>
    <xf numFmtId="0" fontId="22" fillId="0" borderId="9" xfId="0" applyFont="1" applyFill="1" applyBorder="1" applyAlignment="1">
      <alignment horizontal="left" vertical="center" wrapText="1"/>
    </xf>
    <xf numFmtId="0" fontId="14" fillId="0" borderId="40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 wrapText="1"/>
    </xf>
    <xf numFmtId="0" fontId="22" fillId="0" borderId="19" xfId="0" applyFont="1" applyFill="1" applyBorder="1" applyAlignment="1">
      <alignment horizontal="center" vertical="center" wrapText="1"/>
    </xf>
    <xf numFmtId="0" fontId="22" fillId="0" borderId="40" xfId="0" applyFont="1" applyFill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/>
    </xf>
    <xf numFmtId="0" fontId="24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14" fillId="0" borderId="10" xfId="0" applyFont="1" applyFill="1" applyBorder="1" applyAlignment="1">
      <alignment horizontal="center"/>
    </xf>
  </cellXfs>
  <cellStyles count="1">
    <cellStyle name="Normal" xfId="0" builtinId="0"/>
  </cellStyles>
  <dxfs count="9"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  <scheme val="none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4" zoomScale="80" zoomScaleNormal="80" workbookViewId="0">
      <selection activeCell="F51" sqref="F51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135</v>
      </c>
      <c r="D17" s="9"/>
      <c r="E17" s="10"/>
    </row>
    <row r="18" spans="1:6" ht="16.5" customHeight="1" x14ac:dyDescent="0.3">
      <c r="A18" s="11" t="s">
        <v>4</v>
      </c>
      <c r="B18" s="12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v>25.35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B20/100*2/20</f>
        <v>2.5350000000000001E-2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22426946</v>
      </c>
      <c r="C24" s="18">
        <v>8594.2999999999993</v>
      </c>
      <c r="D24" s="19">
        <v>1.1000000000000001</v>
      </c>
      <c r="E24" s="20">
        <v>9.3000000000000007</v>
      </c>
    </row>
    <row r="25" spans="1:6" ht="16.5" customHeight="1" x14ac:dyDescent="0.3">
      <c r="A25" s="17">
        <v>2</v>
      </c>
      <c r="B25" s="18">
        <v>22466427</v>
      </c>
      <c r="C25" s="18">
        <v>8558</v>
      </c>
      <c r="D25" s="19">
        <v>1.1000000000000001</v>
      </c>
      <c r="E25" s="19">
        <v>9.3000000000000007</v>
      </c>
    </row>
    <row r="26" spans="1:6" ht="16.5" customHeight="1" x14ac:dyDescent="0.3">
      <c r="A26" s="17">
        <v>3</v>
      </c>
      <c r="B26" s="18">
        <v>22522166</v>
      </c>
      <c r="C26" s="18">
        <v>8625.9</v>
      </c>
      <c r="D26" s="19">
        <v>1.1000000000000001</v>
      </c>
      <c r="E26" s="19">
        <v>9.3000000000000007</v>
      </c>
    </row>
    <row r="27" spans="1:6" ht="16.5" customHeight="1" x14ac:dyDescent="0.3">
      <c r="A27" s="17">
        <v>4</v>
      </c>
      <c r="B27" s="18">
        <v>22457532</v>
      </c>
      <c r="C27" s="18">
        <v>8557.1</v>
      </c>
      <c r="D27" s="19">
        <v>1.1000000000000001</v>
      </c>
      <c r="E27" s="19">
        <v>9.3000000000000007</v>
      </c>
    </row>
    <row r="28" spans="1:6" ht="16.5" customHeight="1" x14ac:dyDescent="0.3">
      <c r="A28" s="17">
        <v>5</v>
      </c>
      <c r="B28" s="18">
        <v>22566419</v>
      </c>
      <c r="C28" s="18">
        <v>8634.9</v>
      </c>
      <c r="D28" s="19">
        <v>1.1000000000000001</v>
      </c>
      <c r="E28" s="19">
        <v>9.3000000000000007</v>
      </c>
    </row>
    <row r="29" spans="1:6" ht="16.5" customHeight="1" x14ac:dyDescent="0.3">
      <c r="A29" s="17">
        <v>6</v>
      </c>
      <c r="B29" s="21">
        <v>22465572</v>
      </c>
      <c r="C29" s="21">
        <v>8834.1</v>
      </c>
      <c r="D29" s="22">
        <v>1.1000000000000001</v>
      </c>
      <c r="E29" s="22">
        <v>9.3000000000000007</v>
      </c>
    </row>
    <row r="30" spans="1:6" ht="16.5" customHeight="1" x14ac:dyDescent="0.3">
      <c r="A30" s="23" t="s">
        <v>18</v>
      </c>
      <c r="B30" s="24">
        <f>AVERAGE(B24:B29)</f>
        <v>22484177</v>
      </c>
      <c r="C30" s="25">
        <f>AVERAGE(C24:C29)</f>
        <v>8634.0499999999993</v>
      </c>
      <c r="D30" s="26">
        <f>AVERAGE(D24:D29)</f>
        <v>1.0999999999999999</v>
      </c>
      <c r="E30" s="26">
        <f>AVERAGE(E24:E29)</f>
        <v>9.2999999999999989</v>
      </c>
    </row>
    <row r="31" spans="1:6" ht="16.5" customHeight="1" x14ac:dyDescent="0.3">
      <c r="A31" s="27" t="s">
        <v>19</v>
      </c>
      <c r="B31" s="28">
        <f>(STDEV(B24:B29)/B30)</f>
        <v>2.2550079191883347E-3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12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99.7</v>
      </c>
      <c r="C40" s="10"/>
      <c r="D40" s="10"/>
      <c r="E40" s="10"/>
    </row>
    <row r="41" spans="1:6" ht="16.5" customHeight="1" x14ac:dyDescent="0.3">
      <c r="A41" s="7" t="s">
        <v>8</v>
      </c>
      <c r="B41" s="12">
        <v>16.86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B41/100*2/20</f>
        <v>1.686E-2</v>
      </c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14991155</v>
      </c>
      <c r="C45" s="18">
        <v>10559.9</v>
      </c>
      <c r="D45" s="19">
        <v>1.1000000000000001</v>
      </c>
      <c r="E45" s="20">
        <v>9.1999999999999993</v>
      </c>
    </row>
    <row r="46" spans="1:6" ht="16.5" customHeight="1" x14ac:dyDescent="0.3">
      <c r="A46" s="17">
        <v>2</v>
      </c>
      <c r="B46" s="18">
        <v>14933280</v>
      </c>
      <c r="C46" s="18">
        <v>10551.7</v>
      </c>
      <c r="D46" s="19">
        <v>1.1000000000000001</v>
      </c>
      <c r="E46" s="19">
        <v>9.1999999999999993</v>
      </c>
    </row>
    <row r="47" spans="1:6" ht="16.5" customHeight="1" x14ac:dyDescent="0.3">
      <c r="A47" s="17">
        <v>3</v>
      </c>
      <c r="B47" s="18">
        <v>14879452</v>
      </c>
      <c r="C47" s="18">
        <v>10545.9</v>
      </c>
      <c r="D47" s="19">
        <v>1.1000000000000001</v>
      </c>
      <c r="E47" s="19">
        <v>9.1999999999999993</v>
      </c>
    </row>
    <row r="48" spans="1:6" ht="16.5" customHeight="1" x14ac:dyDescent="0.3">
      <c r="A48" s="17">
        <v>4</v>
      </c>
      <c r="B48" s="18">
        <v>14911081</v>
      </c>
      <c r="C48" s="18">
        <v>10515.9</v>
      </c>
      <c r="D48" s="19">
        <v>1.1000000000000001</v>
      </c>
      <c r="E48" s="19">
        <v>9.1999999999999993</v>
      </c>
    </row>
    <row r="49" spans="1:7" ht="16.5" customHeight="1" x14ac:dyDescent="0.3">
      <c r="A49" s="17">
        <v>5</v>
      </c>
      <c r="B49" s="18">
        <v>14859970</v>
      </c>
      <c r="C49" s="18">
        <v>10503.2</v>
      </c>
      <c r="D49" s="19">
        <v>1.1000000000000001</v>
      </c>
      <c r="E49" s="19">
        <v>9.1999999999999993</v>
      </c>
    </row>
    <row r="50" spans="1:7" ht="16.5" customHeight="1" x14ac:dyDescent="0.3">
      <c r="A50" s="17">
        <v>6</v>
      </c>
      <c r="B50" s="21">
        <v>14892756</v>
      </c>
      <c r="C50" s="21">
        <v>10523.5</v>
      </c>
      <c r="D50" s="22">
        <v>1.1000000000000001</v>
      </c>
      <c r="E50" s="22">
        <v>9.1999999999999993</v>
      </c>
    </row>
    <row r="51" spans="1:7" ht="16.5" customHeight="1" x14ac:dyDescent="0.3">
      <c r="A51" s="23" t="s">
        <v>18</v>
      </c>
      <c r="B51" s="24">
        <f>AVERAGE(B45:B50)</f>
        <v>14911282.333333334</v>
      </c>
      <c r="C51" s="25">
        <f>AVERAGE(C45:C50)</f>
        <v>10533.35</v>
      </c>
      <c r="D51" s="26">
        <f>AVERAGE(D45:D50)</f>
        <v>1.0999999999999999</v>
      </c>
      <c r="E51" s="26">
        <f>AVERAGE(E45:E50)</f>
        <v>9.2000000000000011</v>
      </c>
    </row>
    <row r="52" spans="1:7" ht="16.5" customHeight="1" x14ac:dyDescent="0.3">
      <c r="A52" s="27" t="s">
        <v>19</v>
      </c>
      <c r="B52" s="28">
        <f>(STDEV(B45:B50)/B51)</f>
        <v>3.1244496792477449E-3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87" t="s">
        <v>26</v>
      </c>
      <c r="C59" s="28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133</v>
      </c>
      <c r="C60" s="48" t="s">
        <v>134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E46" sqref="E46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92" t="s">
        <v>31</v>
      </c>
      <c r="B11" s="293"/>
      <c r="C11" s="293"/>
      <c r="D11" s="293"/>
      <c r="E11" s="293"/>
      <c r="F11" s="294"/>
      <c r="G11" s="91"/>
    </row>
    <row r="12" spans="1:7" ht="16.5" customHeight="1" x14ac:dyDescent="0.3">
      <c r="A12" s="289" t="s">
        <v>32</v>
      </c>
      <c r="B12" s="289"/>
      <c r="C12" s="289"/>
      <c r="D12" s="289"/>
      <c r="E12" s="289"/>
      <c r="F12" s="289"/>
      <c r="G12" s="90"/>
    </row>
    <row r="14" spans="1:7" ht="16.5" customHeight="1" x14ac:dyDescent="0.3">
      <c r="A14" s="288" t="s">
        <v>33</v>
      </c>
      <c r="B14" s="288"/>
      <c r="C14" s="60" t="s">
        <v>5</v>
      </c>
    </row>
    <row r="15" spans="1:7" ht="16.5" customHeight="1" x14ac:dyDescent="0.3">
      <c r="A15" s="288" t="s">
        <v>34</v>
      </c>
      <c r="B15" s="288"/>
      <c r="C15" s="60" t="s">
        <v>7</v>
      </c>
    </row>
    <row r="16" spans="1:7" ht="16.5" customHeight="1" x14ac:dyDescent="0.3">
      <c r="A16" s="288" t="s">
        <v>35</v>
      </c>
      <c r="B16" s="288"/>
      <c r="C16" s="60" t="s">
        <v>9</v>
      </c>
    </row>
    <row r="17" spans="1:5" ht="16.5" customHeight="1" x14ac:dyDescent="0.3">
      <c r="A17" s="288" t="s">
        <v>36</v>
      </c>
      <c r="B17" s="288"/>
      <c r="C17" s="60" t="s">
        <v>11</v>
      </c>
    </row>
    <row r="18" spans="1:5" ht="16.5" customHeight="1" x14ac:dyDescent="0.3">
      <c r="A18" s="288" t="s">
        <v>37</v>
      </c>
      <c r="B18" s="288"/>
      <c r="C18" s="97" t="s">
        <v>12</v>
      </c>
    </row>
    <row r="19" spans="1:5" ht="16.5" customHeight="1" x14ac:dyDescent="0.3">
      <c r="A19" s="288" t="s">
        <v>38</v>
      </c>
      <c r="B19" s="288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9" t="s">
        <v>1</v>
      </c>
      <c r="B21" s="289"/>
      <c r="C21" s="59" t="s">
        <v>39</v>
      </c>
      <c r="D21" s="66"/>
    </row>
    <row r="22" spans="1:5" ht="15.75" customHeight="1" x14ac:dyDescent="0.3">
      <c r="A22" s="295"/>
      <c r="B22" s="295"/>
      <c r="C22" s="57"/>
      <c r="D22" s="295"/>
      <c r="E22" s="295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807.54</v>
      </c>
      <c r="D24" s="87">
        <f t="shared" ref="D24:D43" si="0">(C24-$C$46)/$C$46</f>
        <v>1.3394974813833454E-2</v>
      </c>
      <c r="E24" s="53"/>
    </row>
    <row r="25" spans="1:5" ht="15.75" customHeight="1" x14ac:dyDescent="0.3">
      <c r="C25" s="95">
        <v>793.12</v>
      </c>
      <c r="D25" s="88">
        <f t="shared" si="0"/>
        <v>-4.7009158377942523E-3</v>
      </c>
      <c r="E25" s="53"/>
    </row>
    <row r="26" spans="1:5" ht="15.75" customHeight="1" x14ac:dyDescent="0.3">
      <c r="C26" s="95">
        <v>797.32</v>
      </c>
      <c r="D26" s="88">
        <f t="shared" si="0"/>
        <v>5.6973192481583109E-4</v>
      </c>
      <c r="E26" s="53"/>
    </row>
    <row r="27" spans="1:5" ht="15.75" customHeight="1" x14ac:dyDescent="0.3">
      <c r="C27" s="95">
        <v>796.65</v>
      </c>
      <c r="D27" s="88">
        <f t="shared" si="0"/>
        <v>-2.7106188493395485E-4</v>
      </c>
      <c r="E27" s="53"/>
    </row>
    <row r="28" spans="1:5" ht="15.75" customHeight="1" x14ac:dyDescent="0.3">
      <c r="C28" s="95">
        <v>791.67</v>
      </c>
      <c r="D28" s="88">
        <f t="shared" si="0"/>
        <v>-6.5205442320287231E-3</v>
      </c>
      <c r="E28" s="53"/>
    </row>
    <row r="29" spans="1:5" ht="15.75" customHeight="1" x14ac:dyDescent="0.3">
      <c r="C29" s="95">
        <v>802.65</v>
      </c>
      <c r="D29" s="88">
        <f t="shared" si="0"/>
        <v>7.2584349187946543E-3</v>
      </c>
      <c r="E29" s="53"/>
    </row>
    <row r="30" spans="1:5" ht="15.75" customHeight="1" x14ac:dyDescent="0.3">
      <c r="C30" s="95">
        <v>794.41</v>
      </c>
      <c r="D30" s="88">
        <f t="shared" si="0"/>
        <v>-3.082074024992647E-3</v>
      </c>
      <c r="E30" s="53"/>
    </row>
    <row r="31" spans="1:5" ht="15.75" customHeight="1" x14ac:dyDescent="0.3">
      <c r="C31" s="95">
        <v>793.62</v>
      </c>
      <c r="D31" s="88">
        <f t="shared" si="0"/>
        <v>-4.0734577708168686E-3</v>
      </c>
      <c r="E31" s="53"/>
    </row>
    <row r="32" spans="1:5" ht="15.75" customHeight="1" x14ac:dyDescent="0.3">
      <c r="C32" s="95">
        <v>791.68</v>
      </c>
      <c r="D32" s="88">
        <f t="shared" si="0"/>
        <v>-6.5079950706891871E-3</v>
      </c>
      <c r="E32" s="53"/>
    </row>
    <row r="33" spans="1:7" ht="15.75" customHeight="1" x14ac:dyDescent="0.3">
      <c r="C33" s="95">
        <v>780.53</v>
      </c>
      <c r="D33" s="88">
        <f t="shared" si="0"/>
        <v>-2.0500309964284823E-2</v>
      </c>
      <c r="E33" s="53"/>
    </row>
    <row r="34" spans="1:7" ht="15.75" customHeight="1" x14ac:dyDescent="0.3">
      <c r="C34" s="95">
        <v>793.17</v>
      </c>
      <c r="D34" s="88">
        <f t="shared" si="0"/>
        <v>-4.6381700310965711E-3</v>
      </c>
      <c r="E34" s="53"/>
    </row>
    <row r="35" spans="1:7" ht="15.75" customHeight="1" x14ac:dyDescent="0.3">
      <c r="C35" s="95">
        <v>786.14</v>
      </c>
      <c r="D35" s="88">
        <f t="shared" si="0"/>
        <v>-1.3460230452798557E-2</v>
      </c>
      <c r="E35" s="53"/>
    </row>
    <row r="36" spans="1:7" ht="15.75" customHeight="1" x14ac:dyDescent="0.3">
      <c r="C36" s="95">
        <v>786.01</v>
      </c>
      <c r="D36" s="88">
        <f t="shared" si="0"/>
        <v>-1.3623369550212672E-2</v>
      </c>
      <c r="E36" s="53"/>
    </row>
    <row r="37" spans="1:7" ht="15.75" customHeight="1" x14ac:dyDescent="0.3">
      <c r="C37" s="95">
        <v>804.69</v>
      </c>
      <c r="D37" s="88">
        <f t="shared" si="0"/>
        <v>9.8184638320624792E-3</v>
      </c>
      <c r="E37" s="53"/>
    </row>
    <row r="38" spans="1:7" ht="15.75" customHeight="1" x14ac:dyDescent="0.3">
      <c r="C38" s="95">
        <v>802.54</v>
      </c>
      <c r="D38" s="88">
        <f t="shared" si="0"/>
        <v>7.1203941440596127E-3</v>
      </c>
      <c r="E38" s="53"/>
    </row>
    <row r="39" spans="1:7" ht="15.75" customHeight="1" x14ac:dyDescent="0.3">
      <c r="C39" s="95">
        <v>794.28</v>
      </c>
      <c r="D39" s="88">
        <f t="shared" si="0"/>
        <v>-3.2452131224067612E-3</v>
      </c>
      <c r="E39" s="53"/>
    </row>
    <row r="40" spans="1:7" ht="15.75" customHeight="1" x14ac:dyDescent="0.3">
      <c r="C40" s="95">
        <v>812.29</v>
      </c>
      <c r="D40" s="88">
        <f t="shared" si="0"/>
        <v>1.9355826450118602E-2</v>
      </c>
      <c r="E40" s="53"/>
    </row>
    <row r="41" spans="1:7" ht="15.75" customHeight="1" x14ac:dyDescent="0.3">
      <c r="C41" s="95">
        <v>802.73</v>
      </c>
      <c r="D41" s="88">
        <f t="shared" si="0"/>
        <v>7.3588282095110868E-3</v>
      </c>
      <c r="E41" s="53"/>
    </row>
    <row r="42" spans="1:7" ht="15.75" customHeight="1" x14ac:dyDescent="0.3">
      <c r="C42" s="95">
        <v>805.23</v>
      </c>
      <c r="D42" s="88">
        <f t="shared" si="0"/>
        <v>1.0496118544398008E-2</v>
      </c>
      <c r="E42" s="53"/>
    </row>
    <row r="43" spans="1:7" ht="16.5" customHeight="1" x14ac:dyDescent="0.3">
      <c r="C43" s="96">
        <v>801.05</v>
      </c>
      <c r="D43" s="89">
        <f t="shared" si="0"/>
        <v>5.2505691044669968E-3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15937.319999999996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796.86599999999976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90">
        <f>C46</f>
        <v>796.86599999999976</v>
      </c>
      <c r="C49" s="93">
        <f>-IF(C46&lt;=80,10%,IF(C46&lt;250,7.5%,5%))</f>
        <v>-0.05</v>
      </c>
      <c r="D49" s="81">
        <f>IF(C46&lt;=80,C46*0.9,IF(C46&lt;250,C46*0.925,C46*0.95))</f>
        <v>757.02269999999976</v>
      </c>
    </row>
    <row r="50" spans="1:6" ht="17.25" customHeight="1" x14ac:dyDescent="0.3">
      <c r="B50" s="291"/>
      <c r="C50" s="94">
        <f>IF(C46&lt;=80, 10%, IF(C46&lt;250, 7.5%, 5%))</f>
        <v>0.05</v>
      </c>
      <c r="D50" s="81">
        <f>IF(C46&lt;=80, C46*1.1, IF(C46&lt;250, C46*1.075, C46*1.05))</f>
        <v>836.70929999999976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A17:B17"/>
    <mergeCell ref="A18:B18"/>
    <mergeCell ref="A19:B19"/>
    <mergeCell ref="A21:B21"/>
    <mergeCell ref="B49:B50"/>
    <mergeCell ref="A12:F12"/>
    <mergeCell ref="A11:F11"/>
    <mergeCell ref="A22:B22"/>
    <mergeCell ref="D22:E22"/>
    <mergeCell ref="A14:B14"/>
    <mergeCell ref="A15:B15"/>
    <mergeCell ref="A16:B16"/>
  </mergeCells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112" zoomScale="60" zoomScaleNormal="40" zoomScalePageLayoutView="50" workbookViewId="0">
      <selection activeCell="D113" sqref="D113"/>
    </sheetView>
  </sheetViews>
  <sheetFormatPr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 customWidth="1"/>
  </cols>
  <sheetData>
    <row r="1" spans="1:9" ht="18.75" customHeight="1" x14ac:dyDescent="0.3">
      <c r="A1" s="334" t="s">
        <v>45</v>
      </c>
      <c r="B1" s="334"/>
      <c r="C1" s="334"/>
      <c r="D1" s="334"/>
      <c r="E1" s="334"/>
      <c r="F1" s="334"/>
      <c r="G1" s="334"/>
      <c r="H1" s="334"/>
      <c r="I1" s="334"/>
    </row>
    <row r="2" spans="1:9" ht="18.75" customHeight="1" x14ac:dyDescent="0.3">
      <c r="A2" s="334"/>
      <c r="B2" s="334"/>
      <c r="C2" s="334"/>
      <c r="D2" s="334"/>
      <c r="E2" s="334"/>
      <c r="F2" s="334"/>
      <c r="G2" s="334"/>
      <c r="H2" s="334"/>
      <c r="I2" s="334"/>
    </row>
    <row r="3" spans="1:9" ht="18.75" customHeight="1" x14ac:dyDescent="0.3">
      <c r="A3" s="334"/>
      <c r="B3" s="334"/>
      <c r="C3" s="334"/>
      <c r="D3" s="334"/>
      <c r="E3" s="334"/>
      <c r="F3" s="334"/>
      <c r="G3" s="334"/>
      <c r="H3" s="334"/>
      <c r="I3" s="334"/>
    </row>
    <row r="4" spans="1:9" ht="18.75" customHeight="1" x14ac:dyDescent="0.3">
      <c r="A4" s="334"/>
      <c r="B4" s="334"/>
      <c r="C4" s="334"/>
      <c r="D4" s="334"/>
      <c r="E4" s="334"/>
      <c r="F4" s="334"/>
      <c r="G4" s="334"/>
      <c r="H4" s="334"/>
      <c r="I4" s="334"/>
    </row>
    <row r="5" spans="1:9" ht="18.75" customHeight="1" x14ac:dyDescent="0.3">
      <c r="A5" s="334"/>
      <c r="B5" s="334"/>
      <c r="C5" s="334"/>
      <c r="D5" s="334"/>
      <c r="E5" s="334"/>
      <c r="F5" s="334"/>
      <c r="G5" s="334"/>
      <c r="H5" s="334"/>
      <c r="I5" s="334"/>
    </row>
    <row r="6" spans="1:9" ht="18.75" customHeight="1" x14ac:dyDescent="0.3">
      <c r="A6" s="334"/>
      <c r="B6" s="334"/>
      <c r="C6" s="334"/>
      <c r="D6" s="334"/>
      <c r="E6" s="334"/>
      <c r="F6" s="334"/>
      <c r="G6" s="334"/>
      <c r="H6" s="334"/>
      <c r="I6" s="334"/>
    </row>
    <row r="7" spans="1:9" ht="18.75" customHeight="1" x14ac:dyDescent="0.3">
      <c r="A7" s="334"/>
      <c r="B7" s="334"/>
      <c r="C7" s="334"/>
      <c r="D7" s="334"/>
      <c r="E7" s="334"/>
      <c r="F7" s="334"/>
      <c r="G7" s="334"/>
      <c r="H7" s="334"/>
      <c r="I7" s="334"/>
    </row>
    <row r="8" spans="1:9" x14ac:dyDescent="0.3">
      <c r="A8" s="335" t="s">
        <v>46</v>
      </c>
      <c r="B8" s="335"/>
      <c r="C8" s="335"/>
      <c r="D8" s="335"/>
      <c r="E8" s="335"/>
      <c r="F8" s="335"/>
      <c r="G8" s="335"/>
      <c r="H8" s="335"/>
      <c r="I8" s="335"/>
    </row>
    <row r="9" spans="1:9" x14ac:dyDescent="0.3">
      <c r="A9" s="335"/>
      <c r="B9" s="335"/>
      <c r="C9" s="335"/>
      <c r="D9" s="335"/>
      <c r="E9" s="335"/>
      <c r="F9" s="335"/>
      <c r="G9" s="335"/>
      <c r="H9" s="335"/>
      <c r="I9" s="335"/>
    </row>
    <row r="10" spans="1:9" x14ac:dyDescent="0.3">
      <c r="A10" s="335"/>
      <c r="B10" s="335"/>
      <c r="C10" s="335"/>
      <c r="D10" s="335"/>
      <c r="E10" s="335"/>
      <c r="F10" s="335"/>
      <c r="G10" s="335"/>
      <c r="H10" s="335"/>
      <c r="I10" s="335"/>
    </row>
    <row r="11" spans="1:9" x14ac:dyDescent="0.3">
      <c r="A11" s="335"/>
      <c r="B11" s="335"/>
      <c r="C11" s="335"/>
      <c r="D11" s="335"/>
      <c r="E11" s="335"/>
      <c r="F11" s="335"/>
      <c r="G11" s="335"/>
      <c r="H11" s="335"/>
      <c r="I11" s="335"/>
    </row>
    <row r="12" spans="1:9" x14ac:dyDescent="0.3">
      <c r="A12" s="335"/>
      <c r="B12" s="335"/>
      <c r="C12" s="335"/>
      <c r="D12" s="335"/>
      <c r="E12" s="335"/>
      <c r="F12" s="335"/>
      <c r="G12" s="335"/>
      <c r="H12" s="335"/>
      <c r="I12" s="335"/>
    </row>
    <row r="13" spans="1:9" x14ac:dyDescent="0.3">
      <c r="A13" s="335"/>
      <c r="B13" s="335"/>
      <c r="C13" s="335"/>
      <c r="D13" s="335"/>
      <c r="E13" s="335"/>
      <c r="F13" s="335"/>
      <c r="G13" s="335"/>
      <c r="H13" s="335"/>
      <c r="I13" s="335"/>
    </row>
    <row r="14" spans="1:9" x14ac:dyDescent="0.3">
      <c r="A14" s="335"/>
      <c r="B14" s="335"/>
      <c r="C14" s="335"/>
      <c r="D14" s="335"/>
      <c r="E14" s="335"/>
      <c r="F14" s="335"/>
      <c r="G14" s="335"/>
      <c r="H14" s="335"/>
      <c r="I14" s="335"/>
    </row>
    <row r="15" spans="1:9" ht="19.5" customHeight="1" x14ac:dyDescent="0.35">
      <c r="A15" s="98"/>
    </row>
    <row r="16" spans="1:9" ht="19.5" customHeight="1" x14ac:dyDescent="0.35">
      <c r="A16" s="306" t="s">
        <v>31</v>
      </c>
      <c r="B16" s="307"/>
      <c r="C16" s="307"/>
      <c r="D16" s="307"/>
      <c r="E16" s="307"/>
      <c r="F16" s="307"/>
      <c r="G16" s="307"/>
      <c r="H16" s="308"/>
    </row>
    <row r="17" spans="1:14" ht="20.25" customHeight="1" x14ac:dyDescent="0.3">
      <c r="A17" s="309" t="s">
        <v>47</v>
      </c>
      <c r="B17" s="309"/>
      <c r="C17" s="309"/>
      <c r="D17" s="309"/>
      <c r="E17" s="309"/>
      <c r="F17" s="309"/>
      <c r="G17" s="309"/>
      <c r="H17" s="309"/>
    </row>
    <row r="18" spans="1:14" ht="26.25" customHeight="1" x14ac:dyDescent="0.5">
      <c r="A18" s="100" t="s">
        <v>33</v>
      </c>
      <c r="B18" s="305" t="s">
        <v>135</v>
      </c>
      <c r="C18" s="305"/>
      <c r="D18" s="246"/>
      <c r="E18" s="101"/>
      <c r="F18" s="102"/>
      <c r="G18" s="102"/>
      <c r="H18" s="102"/>
    </row>
    <row r="19" spans="1:14" ht="26.25" customHeight="1" x14ac:dyDescent="0.5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5">
      <c r="A20" s="100" t="s">
        <v>35</v>
      </c>
      <c r="B20" s="310" t="s">
        <v>9</v>
      </c>
      <c r="C20" s="310"/>
      <c r="D20" s="102"/>
      <c r="E20" s="102"/>
      <c r="F20" s="102"/>
      <c r="G20" s="102"/>
      <c r="H20" s="102"/>
    </row>
    <row r="21" spans="1:14" ht="26.25" customHeight="1" x14ac:dyDescent="0.5">
      <c r="A21" s="100" t="s">
        <v>36</v>
      </c>
      <c r="B21" s="310" t="s">
        <v>11</v>
      </c>
      <c r="C21" s="310"/>
      <c r="D21" s="310"/>
      <c r="E21" s="310"/>
      <c r="F21" s="310"/>
      <c r="G21" s="310"/>
      <c r="H21" s="310"/>
      <c r="I21" s="104"/>
    </row>
    <row r="22" spans="1:14" ht="26.25" customHeight="1" x14ac:dyDescent="0.5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5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" x14ac:dyDescent="0.35">
      <c r="A24" s="100"/>
      <c r="B24" s="106"/>
    </row>
    <row r="25" spans="1:14" ht="18" x14ac:dyDescent="0.35">
      <c r="A25" s="107" t="s">
        <v>1</v>
      </c>
      <c r="B25" s="106"/>
    </row>
    <row r="26" spans="1:14" ht="26.25" customHeight="1" x14ac:dyDescent="0.45">
      <c r="A26" s="108" t="s">
        <v>4</v>
      </c>
      <c r="B26" s="305" t="s">
        <v>131</v>
      </c>
      <c r="C26" s="305"/>
    </row>
    <row r="27" spans="1:14" ht="26.25" customHeight="1" x14ac:dyDescent="0.5">
      <c r="A27" s="109" t="s">
        <v>48</v>
      </c>
      <c r="B27" s="311" t="s">
        <v>132</v>
      </c>
      <c r="C27" s="311"/>
    </row>
    <row r="28" spans="1:14" ht="27" customHeight="1" x14ac:dyDescent="0.45">
      <c r="A28" s="109" t="s">
        <v>6</v>
      </c>
      <c r="B28" s="110">
        <v>99.7</v>
      </c>
    </row>
    <row r="29" spans="1:14" s="14" customFormat="1" ht="27" customHeight="1" x14ac:dyDescent="0.5">
      <c r="A29" s="109" t="s">
        <v>49</v>
      </c>
      <c r="B29" s="111">
        <v>0</v>
      </c>
      <c r="C29" s="312" t="s">
        <v>50</v>
      </c>
      <c r="D29" s="313"/>
      <c r="E29" s="313"/>
      <c r="F29" s="313"/>
      <c r="G29" s="314"/>
      <c r="I29" s="112"/>
      <c r="J29" s="112"/>
      <c r="K29" s="112"/>
      <c r="L29" s="112"/>
    </row>
    <row r="30" spans="1:14" s="14" customFormat="1" ht="19.5" customHeight="1" x14ac:dyDescent="0.35">
      <c r="A30" s="109" t="s">
        <v>51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5">
      <c r="A31" s="109" t="s">
        <v>52</v>
      </c>
      <c r="B31" s="116">
        <v>1</v>
      </c>
      <c r="C31" s="296" t="s">
        <v>53</v>
      </c>
      <c r="D31" s="297"/>
      <c r="E31" s="297"/>
      <c r="F31" s="297"/>
      <c r="G31" s="297"/>
      <c r="H31" s="298"/>
      <c r="I31" s="112"/>
      <c r="J31" s="112"/>
      <c r="K31" s="112"/>
      <c r="L31" s="112"/>
    </row>
    <row r="32" spans="1:14" s="14" customFormat="1" ht="27" customHeight="1" x14ac:dyDescent="0.45">
      <c r="A32" s="109" t="s">
        <v>54</v>
      </c>
      <c r="B32" s="116">
        <v>1</v>
      </c>
      <c r="C32" s="296" t="s">
        <v>55</v>
      </c>
      <c r="D32" s="297"/>
      <c r="E32" s="297"/>
      <c r="F32" s="297"/>
      <c r="G32" s="297"/>
      <c r="H32" s="298"/>
      <c r="I32" s="112"/>
      <c r="J32" s="112"/>
      <c r="K32" s="112"/>
      <c r="L32" s="117"/>
      <c r="M32" s="117"/>
      <c r="N32" s="118"/>
    </row>
    <row r="33" spans="1:14" s="14" customFormat="1" ht="17.25" customHeight="1" x14ac:dyDescent="0.35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" x14ac:dyDescent="0.35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5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5">
      <c r="A36" s="122" t="s">
        <v>58</v>
      </c>
      <c r="B36" s="123">
        <v>100</v>
      </c>
      <c r="C36" s="99"/>
      <c r="D36" s="299" t="s">
        <v>59</v>
      </c>
      <c r="E36" s="300"/>
      <c r="F36" s="299" t="s">
        <v>60</v>
      </c>
      <c r="G36" s="301"/>
      <c r="J36" s="112"/>
      <c r="K36" s="112"/>
      <c r="L36" s="117"/>
      <c r="M36" s="117"/>
      <c r="N36" s="118"/>
    </row>
    <row r="37" spans="1:14" s="14" customFormat="1" ht="27" customHeight="1" x14ac:dyDescent="0.45">
      <c r="A37" s="124" t="s">
        <v>61</v>
      </c>
      <c r="B37" s="125">
        <v>2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5">
      <c r="A38" s="124" t="s">
        <v>66</v>
      </c>
      <c r="B38" s="125">
        <v>20</v>
      </c>
      <c r="C38" s="131">
        <v>1</v>
      </c>
      <c r="D38" s="132">
        <v>22517040</v>
      </c>
      <c r="E38" s="133">
        <f>IF(ISBLANK(D38),"-",$D$48/$D$45*D38)</f>
        <v>22272972.764447186</v>
      </c>
      <c r="F38" s="132">
        <v>22656630</v>
      </c>
      <c r="G38" s="134">
        <f>IF(ISBLANK(F38),"-",$D$48/$F$45*F38)</f>
        <v>22733897.972428694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5">
      <c r="A39" s="124" t="s">
        <v>67</v>
      </c>
      <c r="B39" s="125">
        <v>1</v>
      </c>
      <c r="C39" s="136">
        <v>2</v>
      </c>
      <c r="D39" s="137">
        <v>22625148</v>
      </c>
      <c r="E39" s="138">
        <f>IF(ISBLANK(D39),"-",$D$48/$D$45*D39)</f>
        <v>22379908.957642157</v>
      </c>
      <c r="F39" s="137">
        <v>22730686</v>
      </c>
      <c r="G39" s="139">
        <f>IF(ISBLANK(F39),"-",$D$48/$F$45*F39)</f>
        <v>22808206.532362197</v>
      </c>
      <c r="I39" s="315">
        <f>ABS((F43/D43*D42)-F42)/D42</f>
        <v>1.940379822697133E-2</v>
      </c>
      <c r="J39" s="112"/>
      <c r="K39" s="112"/>
      <c r="L39" s="117"/>
      <c r="M39" s="117"/>
      <c r="N39" s="118"/>
    </row>
    <row r="40" spans="1:14" ht="26.25" customHeight="1" x14ac:dyDescent="0.45">
      <c r="A40" s="124" t="s">
        <v>68</v>
      </c>
      <c r="B40" s="125">
        <v>1</v>
      </c>
      <c r="C40" s="136">
        <v>3</v>
      </c>
      <c r="D40" s="137">
        <v>22616240</v>
      </c>
      <c r="E40" s="138">
        <f>IF(ISBLANK(D40),"-",$D$48/$D$45*D40)</f>
        <v>22371097.513447639</v>
      </c>
      <c r="F40" s="137">
        <v>22723633</v>
      </c>
      <c r="G40" s="139">
        <f>IF(ISBLANK(F40),"-",$D$48/$F$45*F40)</f>
        <v>22801129.478872798</v>
      </c>
      <c r="I40" s="315"/>
      <c r="L40" s="117"/>
      <c r="M40" s="117"/>
      <c r="N40" s="140"/>
    </row>
    <row r="41" spans="1:14" ht="27" customHeight="1" x14ac:dyDescent="0.45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5">
      <c r="A42" s="124" t="s">
        <v>70</v>
      </c>
      <c r="B42" s="125">
        <v>1</v>
      </c>
      <c r="C42" s="146" t="s">
        <v>71</v>
      </c>
      <c r="D42" s="147">
        <f>AVERAGE(D38:D41)</f>
        <v>22586142.666666668</v>
      </c>
      <c r="E42" s="148">
        <f>AVERAGE(E38:E41)</f>
        <v>22341326.411845658</v>
      </c>
      <c r="F42" s="147">
        <f>AVERAGE(F38:F41)</f>
        <v>22703649.666666668</v>
      </c>
      <c r="G42" s="149">
        <f>AVERAGE(G38:G41)</f>
        <v>22781077.994554561</v>
      </c>
      <c r="H42" s="150"/>
    </row>
    <row r="43" spans="1:14" ht="26.25" customHeight="1" x14ac:dyDescent="0.45">
      <c r="A43" s="124" t="s">
        <v>72</v>
      </c>
      <c r="B43" s="125">
        <v>1</v>
      </c>
      <c r="C43" s="151" t="s">
        <v>73</v>
      </c>
      <c r="D43" s="152">
        <v>25.35</v>
      </c>
      <c r="E43" s="140"/>
      <c r="F43" s="152">
        <v>24.99</v>
      </c>
      <c r="H43" s="150"/>
    </row>
    <row r="44" spans="1:14" ht="26.25" customHeight="1" x14ac:dyDescent="0.45">
      <c r="A44" s="124" t="s">
        <v>74</v>
      </c>
      <c r="B44" s="125">
        <v>1</v>
      </c>
      <c r="C44" s="153" t="s">
        <v>75</v>
      </c>
      <c r="D44" s="154">
        <f>D43*$B$34</f>
        <v>25.35</v>
      </c>
      <c r="E44" s="155"/>
      <c r="F44" s="154">
        <f>F43*$B$34</f>
        <v>24.99</v>
      </c>
      <c r="H44" s="150"/>
    </row>
    <row r="45" spans="1:14" ht="19.5" customHeight="1" x14ac:dyDescent="0.35">
      <c r="A45" s="124" t="s">
        <v>76</v>
      </c>
      <c r="B45" s="156">
        <f>(B44/B43)*(B42/B41)*(B40/B39)*(B38/B37)*B36</f>
        <v>1000</v>
      </c>
      <c r="C45" s="153" t="s">
        <v>77</v>
      </c>
      <c r="D45" s="157">
        <f>D44*$B$30/100</f>
        <v>25.273950000000003</v>
      </c>
      <c r="E45" s="158"/>
      <c r="F45" s="157">
        <f>F44*$B$30/100</f>
        <v>24.915029999999998</v>
      </c>
      <c r="H45" s="150"/>
    </row>
    <row r="46" spans="1:14" ht="19.5" customHeight="1" x14ac:dyDescent="0.35">
      <c r="A46" s="316" t="s">
        <v>78</v>
      </c>
      <c r="B46" s="317"/>
      <c r="C46" s="153" t="s">
        <v>79</v>
      </c>
      <c r="D46" s="159">
        <f>D45/$B$45</f>
        <v>2.5273950000000003E-2</v>
      </c>
      <c r="E46" s="160"/>
      <c r="F46" s="161">
        <f>F45/$B$45</f>
        <v>2.4915029999999998E-2</v>
      </c>
      <c r="H46" s="150"/>
    </row>
    <row r="47" spans="1:14" ht="27" customHeight="1" x14ac:dyDescent="0.45">
      <c r="A47" s="318"/>
      <c r="B47" s="319"/>
      <c r="C47" s="162" t="s">
        <v>80</v>
      </c>
      <c r="D47" s="163">
        <v>2.5000000000000001E-2</v>
      </c>
      <c r="E47" s="164"/>
      <c r="F47" s="160"/>
      <c r="H47" s="150"/>
    </row>
    <row r="48" spans="1:14" ht="18" x14ac:dyDescent="0.35">
      <c r="C48" s="165" t="s">
        <v>81</v>
      </c>
      <c r="D48" s="157">
        <f>D47*$B$45</f>
        <v>25</v>
      </c>
      <c r="F48" s="166"/>
      <c r="H48" s="150"/>
    </row>
    <row r="49" spans="1:12" ht="19.5" customHeight="1" x14ac:dyDescent="0.35">
      <c r="C49" s="167" t="s">
        <v>82</v>
      </c>
      <c r="D49" s="168">
        <f>D48/B34</f>
        <v>25</v>
      </c>
      <c r="F49" s="166"/>
      <c r="H49" s="150"/>
    </row>
    <row r="50" spans="1:12" ht="18" x14ac:dyDescent="0.35">
      <c r="C50" s="122" t="s">
        <v>83</v>
      </c>
      <c r="D50" s="169">
        <f>AVERAGE(E38:E41,G38:G41)</f>
        <v>22561202.203200113</v>
      </c>
      <c r="F50" s="170"/>
      <c r="H50" s="150"/>
    </row>
    <row r="51" spans="1:12" ht="18" x14ac:dyDescent="0.35">
      <c r="C51" s="124" t="s">
        <v>84</v>
      </c>
      <c r="D51" s="171">
        <f>STDEV(E38:E41,G38:G41)/D50</f>
        <v>1.0865830749515379E-2</v>
      </c>
      <c r="F51" s="170"/>
      <c r="H51" s="150"/>
    </row>
    <row r="52" spans="1:12" ht="19.5" customHeight="1" x14ac:dyDescent="0.35">
      <c r="C52" s="172" t="s">
        <v>20</v>
      </c>
      <c r="D52" s="173">
        <f>COUNT(E38:E41,G38:G41)</f>
        <v>6</v>
      </c>
      <c r="F52" s="170"/>
    </row>
    <row r="54" spans="1:12" ht="18" x14ac:dyDescent="0.35">
      <c r="A54" s="174" t="s">
        <v>1</v>
      </c>
      <c r="B54" s="175" t="s">
        <v>85</v>
      </c>
    </row>
    <row r="55" spans="1:12" ht="18" x14ac:dyDescent="0.35">
      <c r="A55" s="99" t="s">
        <v>86</v>
      </c>
      <c r="B55" s="176" t="str">
        <f>B21</f>
        <v>Each tablet contains: 200 mg of Nevirapine USP.</v>
      </c>
    </row>
    <row r="56" spans="1:12" ht="26.25" customHeight="1" x14ac:dyDescent="0.45">
      <c r="A56" s="177" t="s">
        <v>87</v>
      </c>
      <c r="B56" s="178">
        <v>200</v>
      </c>
      <c r="C56" s="99" t="str">
        <f>B20</f>
        <v>Nevirapine USP</v>
      </c>
      <c r="H56" s="179"/>
    </row>
    <row r="57" spans="1:12" ht="18" x14ac:dyDescent="0.35">
      <c r="A57" s="176" t="s">
        <v>88</v>
      </c>
      <c r="B57" s="247">
        <f>Uniformity!C46</f>
        <v>796.86599999999976</v>
      </c>
      <c r="H57" s="179"/>
    </row>
    <row r="58" spans="1:12" ht="19.5" customHeight="1" x14ac:dyDescent="0.35">
      <c r="H58" s="179"/>
    </row>
    <row r="59" spans="1:12" s="14" customFormat="1" ht="27" customHeight="1" x14ac:dyDescent="0.45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5">
      <c r="A60" s="124" t="s">
        <v>93</v>
      </c>
      <c r="B60" s="125">
        <v>5</v>
      </c>
      <c r="C60" s="320" t="s">
        <v>94</v>
      </c>
      <c r="D60" s="323">
        <v>199.09</v>
      </c>
      <c r="E60" s="182">
        <v>1</v>
      </c>
      <c r="F60" s="183">
        <v>22149282</v>
      </c>
      <c r="G60" s="248">
        <f>IF(ISBLANK(F60),"-",(F60/$D$50*$D$47*$B$68)*($B$57/$D$60))</f>
        <v>196.47317776303561</v>
      </c>
      <c r="H60" s="266">
        <f t="shared" ref="H60:H71" si="0">IF(ISBLANK(F60),"-",(G60/$B$56)*100)</f>
        <v>98.236588881517804</v>
      </c>
      <c r="L60" s="112"/>
    </row>
    <row r="61" spans="1:12" s="14" customFormat="1" ht="26.25" customHeight="1" x14ac:dyDescent="0.45">
      <c r="A61" s="124" t="s">
        <v>95</v>
      </c>
      <c r="B61" s="125">
        <v>100</v>
      </c>
      <c r="C61" s="321"/>
      <c r="D61" s="324"/>
      <c r="E61" s="184">
        <v>2</v>
      </c>
      <c r="F61" s="137">
        <v>22040953</v>
      </c>
      <c r="G61" s="249">
        <f>IF(ISBLANK(F61),"-",(F61/$D$50*$D$47*$B$68)*($B$57/$D$60))</f>
        <v>195.51225528826234</v>
      </c>
      <c r="H61" s="267">
        <f t="shared" si="0"/>
        <v>97.756127644131169</v>
      </c>
      <c r="L61" s="112"/>
    </row>
    <row r="62" spans="1:12" s="14" customFormat="1" ht="26.25" customHeight="1" x14ac:dyDescent="0.45">
      <c r="A62" s="124" t="s">
        <v>96</v>
      </c>
      <c r="B62" s="125">
        <v>1</v>
      </c>
      <c r="C62" s="321"/>
      <c r="D62" s="324"/>
      <c r="E62" s="184">
        <v>3</v>
      </c>
      <c r="F62" s="185">
        <v>22321585</v>
      </c>
      <c r="G62" s="249">
        <f>IF(ISBLANK(F62),"-",(F62/$D$50*$D$47*$B$68)*($B$57/$D$60))</f>
        <v>198.00157574668606</v>
      </c>
      <c r="H62" s="267">
        <f t="shared" si="0"/>
        <v>99.000787873343029</v>
      </c>
      <c r="L62" s="112"/>
    </row>
    <row r="63" spans="1:12" ht="27" customHeight="1" x14ac:dyDescent="0.45">
      <c r="A63" s="124" t="s">
        <v>97</v>
      </c>
      <c r="B63" s="125">
        <v>1</v>
      </c>
      <c r="C63" s="322"/>
      <c r="D63" s="325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5">
      <c r="A64" s="124" t="s">
        <v>98</v>
      </c>
      <c r="B64" s="125">
        <v>1</v>
      </c>
      <c r="C64" s="320" t="s">
        <v>99</v>
      </c>
      <c r="D64" s="323">
        <v>200.48</v>
      </c>
      <c r="E64" s="182">
        <v>1</v>
      </c>
      <c r="F64" s="183">
        <v>22433230</v>
      </c>
      <c r="G64" s="248">
        <f>IF(ISBLANK(F64),"-",(F64/$D$50*$D$47*$B$68)*($B$57/$D$64))</f>
        <v>197.61222994209504</v>
      </c>
      <c r="H64" s="266">
        <f t="shared" si="0"/>
        <v>98.806114971047521</v>
      </c>
    </row>
    <row r="65" spans="1:8" ht="26.25" customHeight="1" x14ac:dyDescent="0.45">
      <c r="A65" s="124" t="s">
        <v>100</v>
      </c>
      <c r="B65" s="125">
        <v>1</v>
      </c>
      <c r="C65" s="321"/>
      <c r="D65" s="324"/>
      <c r="E65" s="184">
        <v>2</v>
      </c>
      <c r="F65" s="137">
        <v>22121056</v>
      </c>
      <c r="G65" s="249">
        <f>IF(ISBLANK(F65),"-",(F65/$D$50*$D$47*$B$68)*($B$57/$D$64))</f>
        <v>194.86231830342581</v>
      </c>
      <c r="H65" s="267">
        <f t="shared" si="0"/>
        <v>97.431159151712905</v>
      </c>
    </row>
    <row r="66" spans="1:8" ht="26.25" customHeight="1" x14ac:dyDescent="0.45">
      <c r="A66" s="124" t="s">
        <v>101</v>
      </c>
      <c r="B66" s="125">
        <v>1</v>
      </c>
      <c r="C66" s="321"/>
      <c r="D66" s="324"/>
      <c r="E66" s="184">
        <v>3</v>
      </c>
      <c r="F66" s="137">
        <v>22117813</v>
      </c>
      <c r="G66" s="249">
        <f>IF(ISBLANK(F66),"-",(F66/$D$50*$D$47*$B$68)*($B$57/$D$64))</f>
        <v>194.83375101901328</v>
      </c>
      <c r="H66" s="267">
        <f t="shared" si="0"/>
        <v>97.416875509506639</v>
      </c>
    </row>
    <row r="67" spans="1:8" ht="27" customHeight="1" x14ac:dyDescent="0.45">
      <c r="A67" s="124" t="s">
        <v>102</v>
      </c>
      <c r="B67" s="125">
        <v>1</v>
      </c>
      <c r="C67" s="322"/>
      <c r="D67" s="325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5">
      <c r="A68" s="124" t="s">
        <v>103</v>
      </c>
      <c r="B68" s="188">
        <f>(B67/B66)*(B65/B64)*(B63/B62)*(B61/B60)*B59</f>
        <v>2000</v>
      </c>
      <c r="C68" s="320" t="s">
        <v>104</v>
      </c>
      <c r="D68" s="323">
        <v>204.19</v>
      </c>
      <c r="E68" s="182">
        <v>1</v>
      </c>
      <c r="F68" s="183">
        <v>22560041</v>
      </c>
      <c r="G68" s="248">
        <f>IF(ISBLANK(F68),"-",(F68/$D$50*$D$47*$B$68)*($B$57/$D$68))</f>
        <v>195.11851365877118</v>
      </c>
      <c r="H68" s="267">
        <f t="shared" si="0"/>
        <v>97.559256829385589</v>
      </c>
    </row>
    <row r="69" spans="1:8" ht="27" customHeight="1" x14ac:dyDescent="0.5">
      <c r="A69" s="172" t="s">
        <v>105</v>
      </c>
      <c r="B69" s="189">
        <f>(D47*B68)/B56*B57</f>
        <v>199.21649999999994</v>
      </c>
      <c r="C69" s="321"/>
      <c r="D69" s="324"/>
      <c r="E69" s="184">
        <v>2</v>
      </c>
      <c r="F69" s="137">
        <v>22963176</v>
      </c>
      <c r="G69" s="249">
        <f>IF(ISBLANK(F69),"-",(F69/$D$50*$D$47*$B$68)*($B$57/$D$68))</f>
        <v>198.60516964507141</v>
      </c>
      <c r="H69" s="267">
        <f t="shared" si="0"/>
        <v>99.302584822535707</v>
      </c>
    </row>
    <row r="70" spans="1:8" ht="26.25" customHeight="1" x14ac:dyDescent="0.45">
      <c r="A70" s="329" t="s">
        <v>78</v>
      </c>
      <c r="B70" s="330"/>
      <c r="C70" s="321"/>
      <c r="D70" s="324"/>
      <c r="E70" s="184">
        <v>3</v>
      </c>
      <c r="F70" s="137">
        <v>22795948</v>
      </c>
      <c r="G70" s="249">
        <f>IF(ISBLANK(F70),"-",(F70/$D$50*$D$47*$B$68)*($B$57/$D$68))</f>
        <v>197.15883899336166</v>
      </c>
      <c r="H70" s="267">
        <f t="shared" si="0"/>
        <v>98.579419496680828</v>
      </c>
    </row>
    <row r="71" spans="1:8" ht="27" customHeight="1" x14ac:dyDescent="0.45">
      <c r="A71" s="331"/>
      <c r="B71" s="332"/>
      <c r="C71" s="328"/>
      <c r="D71" s="325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5">
      <c r="A72" s="190"/>
      <c r="B72" s="190"/>
      <c r="C72" s="190"/>
      <c r="D72" s="190"/>
      <c r="E72" s="190"/>
      <c r="F72" s="192" t="s">
        <v>71</v>
      </c>
      <c r="G72" s="254">
        <f>AVERAGE(G60:G71)</f>
        <v>196.4642033733025</v>
      </c>
      <c r="H72" s="269">
        <f>AVERAGE(H60:H71)</f>
        <v>98.232101686651248</v>
      </c>
    </row>
    <row r="73" spans="1:8" ht="26.25" customHeight="1" x14ac:dyDescent="0.45">
      <c r="C73" s="190"/>
      <c r="D73" s="190"/>
      <c r="E73" s="190"/>
      <c r="F73" s="193" t="s">
        <v>84</v>
      </c>
      <c r="G73" s="253">
        <f>STDEV(G60:G71)/G72</f>
        <v>7.3517508654139512E-3</v>
      </c>
      <c r="H73" s="253">
        <f>STDEV(H60:H71)/H72</f>
        <v>7.3517508654139512E-3</v>
      </c>
    </row>
    <row r="74" spans="1:8" ht="27" customHeight="1" x14ac:dyDescent="0.45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5">
      <c r="A76" s="108" t="s">
        <v>106</v>
      </c>
      <c r="B76" s="197" t="s">
        <v>107</v>
      </c>
      <c r="C76" s="333" t="str">
        <f>B26</f>
        <v>Nevirapine</v>
      </c>
      <c r="D76" s="333"/>
      <c r="E76" s="198" t="s">
        <v>108</v>
      </c>
      <c r="F76" s="198"/>
      <c r="G76" s="285">
        <f>H72</f>
        <v>98.232101686651248</v>
      </c>
      <c r="H76" s="200"/>
    </row>
    <row r="77" spans="1:8" ht="18" x14ac:dyDescent="0.35">
      <c r="A77" s="107" t="s">
        <v>109</v>
      </c>
      <c r="B77" s="107" t="s">
        <v>110</v>
      </c>
    </row>
    <row r="78" spans="1:8" ht="18" x14ac:dyDescent="0.35">
      <c r="A78" s="107"/>
      <c r="B78" s="107"/>
    </row>
    <row r="79" spans="1:8" ht="26.25" customHeight="1" x14ac:dyDescent="0.45">
      <c r="A79" s="108" t="s">
        <v>4</v>
      </c>
      <c r="B79" s="302" t="str">
        <f>B26</f>
        <v>Nevirapine</v>
      </c>
      <c r="C79" s="302"/>
    </row>
    <row r="80" spans="1:8" ht="26.25" customHeight="1" x14ac:dyDescent="0.45">
      <c r="A80" s="109" t="s">
        <v>48</v>
      </c>
      <c r="B80" s="302" t="str">
        <f>B27</f>
        <v>N1-6</v>
      </c>
      <c r="C80" s="302"/>
    </row>
    <row r="81" spans="1:12" ht="27" customHeight="1" x14ac:dyDescent="0.45">
      <c r="A81" s="109" t="s">
        <v>6</v>
      </c>
      <c r="B81" s="201">
        <f>B28</f>
        <v>99.7</v>
      </c>
    </row>
    <row r="82" spans="1:12" s="14" customFormat="1" ht="27" customHeight="1" x14ac:dyDescent="0.5">
      <c r="A82" s="109" t="s">
        <v>49</v>
      </c>
      <c r="B82" s="111">
        <v>0</v>
      </c>
      <c r="C82" s="312" t="s">
        <v>50</v>
      </c>
      <c r="D82" s="313"/>
      <c r="E82" s="313"/>
      <c r="F82" s="313"/>
      <c r="G82" s="314"/>
      <c r="I82" s="112"/>
      <c r="J82" s="112"/>
      <c r="K82" s="112"/>
      <c r="L82" s="112"/>
    </row>
    <row r="83" spans="1:12" s="14" customFormat="1" ht="19.5" customHeight="1" x14ac:dyDescent="0.35">
      <c r="A83" s="109" t="s">
        <v>51</v>
      </c>
      <c r="B83" s="113">
        <f>B81-B82</f>
        <v>99.7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5">
      <c r="A84" s="109" t="s">
        <v>52</v>
      </c>
      <c r="B84" s="116">
        <v>1</v>
      </c>
      <c r="C84" s="296" t="s">
        <v>111</v>
      </c>
      <c r="D84" s="297"/>
      <c r="E84" s="297"/>
      <c r="F84" s="297"/>
      <c r="G84" s="297"/>
      <c r="H84" s="298"/>
      <c r="I84" s="112"/>
      <c r="J84" s="112"/>
      <c r="K84" s="112"/>
      <c r="L84" s="112"/>
    </row>
    <row r="85" spans="1:12" s="14" customFormat="1" ht="27" customHeight="1" x14ac:dyDescent="0.45">
      <c r="A85" s="109" t="s">
        <v>54</v>
      </c>
      <c r="B85" s="116">
        <v>1</v>
      </c>
      <c r="C85" s="296" t="s">
        <v>112</v>
      </c>
      <c r="D85" s="297"/>
      <c r="E85" s="297"/>
      <c r="F85" s="297"/>
      <c r="G85" s="297"/>
      <c r="H85" s="298"/>
      <c r="I85" s="112"/>
      <c r="J85" s="112"/>
      <c r="K85" s="112"/>
      <c r="L85" s="112"/>
    </row>
    <row r="86" spans="1:12" s="14" customFormat="1" ht="18" x14ac:dyDescent="0.3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" x14ac:dyDescent="0.35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5">
      <c r="A88" s="107"/>
      <c r="B88" s="107"/>
    </row>
    <row r="89" spans="1:12" ht="27" customHeight="1" x14ac:dyDescent="0.45">
      <c r="A89" s="122" t="s">
        <v>58</v>
      </c>
      <c r="B89" s="123">
        <v>100</v>
      </c>
      <c r="D89" s="202" t="s">
        <v>59</v>
      </c>
      <c r="E89" s="203"/>
      <c r="F89" s="299" t="s">
        <v>60</v>
      </c>
      <c r="G89" s="301"/>
    </row>
    <row r="90" spans="1:12" ht="27" customHeight="1" x14ac:dyDescent="0.45">
      <c r="A90" s="124" t="s">
        <v>61</v>
      </c>
      <c r="B90" s="125">
        <v>2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5">
      <c r="A91" s="124" t="s">
        <v>66</v>
      </c>
      <c r="B91" s="125">
        <v>20</v>
      </c>
      <c r="C91" s="206">
        <v>1</v>
      </c>
      <c r="D91" s="132">
        <v>14866496</v>
      </c>
      <c r="E91" s="133">
        <f>IF(ISBLANK(D91),"-",$D$101/$D$98*D91)</f>
        <v>9826828.5811698958</v>
      </c>
      <c r="F91" s="132">
        <v>12216140</v>
      </c>
      <c r="G91" s="134">
        <f>IF(ISBLANK(F91),"-",$D$101/$F$98*F91)</f>
        <v>9844057.76178056</v>
      </c>
      <c r="I91" s="135"/>
    </row>
    <row r="92" spans="1:12" ht="26.25" customHeight="1" x14ac:dyDescent="0.45">
      <c r="A92" s="124" t="s">
        <v>67</v>
      </c>
      <c r="B92" s="125">
        <v>1</v>
      </c>
      <c r="C92" s="191">
        <v>2</v>
      </c>
      <c r="D92" s="137">
        <v>14837301</v>
      </c>
      <c r="E92" s="138">
        <f>IF(ISBLANK(D92),"-",$D$101/$D$98*D92)</f>
        <v>9807530.5394237265</v>
      </c>
      <c r="F92" s="137">
        <v>12208234</v>
      </c>
      <c r="G92" s="139">
        <f>IF(ISBLANK(F92),"-",$D$101/$F$98*F92)</f>
        <v>9837686.9179080576</v>
      </c>
      <c r="I92" s="315">
        <f>ABS((F96/D96*D95)-F95)/D95</f>
        <v>2.7712868791039879E-3</v>
      </c>
    </row>
    <row r="93" spans="1:12" ht="26.25" customHeight="1" x14ac:dyDescent="0.45">
      <c r="A93" s="124" t="s">
        <v>68</v>
      </c>
      <c r="B93" s="125">
        <v>1</v>
      </c>
      <c r="C93" s="191">
        <v>3</v>
      </c>
      <c r="D93" s="137">
        <v>14862949</v>
      </c>
      <c r="E93" s="138">
        <f>IF(ISBLANK(D93),"-",$D$101/$D$98*D93)</f>
        <v>9824483.9963412043</v>
      </c>
      <c r="F93" s="137">
        <v>12256553</v>
      </c>
      <c r="G93" s="139">
        <f>IF(ISBLANK(F93),"-",$D$101/$F$98*F93)</f>
        <v>9876623.5236600768</v>
      </c>
      <c r="I93" s="315"/>
    </row>
    <row r="94" spans="1:12" ht="27" customHeight="1" x14ac:dyDescent="0.45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5">
      <c r="A95" s="124" t="s">
        <v>70</v>
      </c>
      <c r="B95" s="125">
        <v>1</v>
      </c>
      <c r="C95" s="209" t="s">
        <v>71</v>
      </c>
      <c r="D95" s="210">
        <f>AVERAGE(D91:D94)</f>
        <v>14855582</v>
      </c>
      <c r="E95" s="148">
        <f>AVERAGE(E91:E94)</f>
        <v>9819614.3723116089</v>
      </c>
      <c r="F95" s="211">
        <f>AVERAGE(F91:F94)</f>
        <v>12226975.666666666</v>
      </c>
      <c r="G95" s="212">
        <f>AVERAGE(G91:G94)</f>
        <v>9852789.4011162315</v>
      </c>
    </row>
    <row r="96" spans="1:12" ht="26.25" customHeight="1" x14ac:dyDescent="0.45">
      <c r="A96" s="124" t="s">
        <v>72</v>
      </c>
      <c r="B96" s="110">
        <v>1</v>
      </c>
      <c r="C96" s="213" t="s">
        <v>113</v>
      </c>
      <c r="D96" s="214">
        <v>16.86</v>
      </c>
      <c r="E96" s="140"/>
      <c r="F96" s="152">
        <v>13.83</v>
      </c>
    </row>
    <row r="97" spans="1:10" ht="26.25" customHeight="1" x14ac:dyDescent="0.45">
      <c r="A97" s="124" t="s">
        <v>74</v>
      </c>
      <c r="B97" s="110">
        <v>1</v>
      </c>
      <c r="C97" s="215" t="s">
        <v>114</v>
      </c>
      <c r="D97" s="216">
        <f>D96*$B$87</f>
        <v>16.86</v>
      </c>
      <c r="E97" s="155"/>
      <c r="F97" s="154">
        <f>F96*$B$87</f>
        <v>13.83</v>
      </c>
    </row>
    <row r="98" spans="1:10" ht="19.5" customHeight="1" x14ac:dyDescent="0.35">
      <c r="A98" s="124" t="s">
        <v>76</v>
      </c>
      <c r="B98" s="217">
        <f>(B97/B96)*(B95/B94)*(B93/B92)*(B91/B90)*B89</f>
        <v>1000</v>
      </c>
      <c r="C98" s="215" t="s">
        <v>115</v>
      </c>
      <c r="D98" s="218">
        <f>D97*$B$83/100</f>
        <v>16.809419999999999</v>
      </c>
      <c r="E98" s="158"/>
      <c r="F98" s="157">
        <f>F97*$B$83/100</f>
        <v>13.78851</v>
      </c>
    </row>
    <row r="99" spans="1:10" ht="19.5" customHeight="1" x14ac:dyDescent="0.35">
      <c r="A99" s="316" t="s">
        <v>78</v>
      </c>
      <c r="B99" s="326"/>
      <c r="C99" s="215" t="s">
        <v>116</v>
      </c>
      <c r="D99" s="219">
        <f>D98/$B$98</f>
        <v>1.6809419999999999E-2</v>
      </c>
      <c r="E99" s="158"/>
      <c r="F99" s="161">
        <f>F98/$B$98</f>
        <v>1.378851E-2</v>
      </c>
      <c r="G99" s="220"/>
      <c r="H99" s="150"/>
    </row>
    <row r="100" spans="1:10" ht="19.5" customHeight="1" x14ac:dyDescent="0.35">
      <c r="A100" s="318"/>
      <c r="B100" s="327"/>
      <c r="C100" s="215" t="s">
        <v>80</v>
      </c>
      <c r="D100" s="221">
        <f>$B$56/$B$116</f>
        <v>1.1111111111111112E-2</v>
      </c>
      <c r="F100" s="166"/>
      <c r="G100" s="222"/>
      <c r="H100" s="150"/>
    </row>
    <row r="101" spans="1:10" ht="18" x14ac:dyDescent="0.35">
      <c r="C101" s="215" t="s">
        <v>81</v>
      </c>
      <c r="D101" s="216">
        <f>D100*$B$98</f>
        <v>11.111111111111111</v>
      </c>
      <c r="F101" s="166"/>
      <c r="G101" s="220"/>
      <c r="H101" s="150"/>
    </row>
    <row r="102" spans="1:10" ht="19.5" customHeight="1" x14ac:dyDescent="0.35">
      <c r="C102" s="223" t="s">
        <v>82</v>
      </c>
      <c r="D102" s="224">
        <f>D101/B34</f>
        <v>11.111111111111111</v>
      </c>
      <c r="F102" s="170"/>
      <c r="G102" s="220"/>
      <c r="H102" s="150"/>
      <c r="J102" s="225"/>
    </row>
    <row r="103" spans="1:10" ht="18" x14ac:dyDescent="0.35">
      <c r="C103" s="226" t="s">
        <v>117</v>
      </c>
      <c r="D103" s="227">
        <f>AVERAGE(E91:E94,G91:G94)</f>
        <v>9836201.8867139202</v>
      </c>
      <c r="F103" s="170"/>
      <c r="G103" s="228"/>
      <c r="H103" s="150"/>
      <c r="J103" s="229"/>
    </row>
    <row r="104" spans="1:10" ht="18" x14ac:dyDescent="0.35">
      <c r="C104" s="193" t="s">
        <v>84</v>
      </c>
      <c r="D104" s="230">
        <f>STDEV(E91:E94,G91:G94)/D103</f>
        <v>2.3821117058282779E-3</v>
      </c>
      <c r="F104" s="170"/>
      <c r="G104" s="220"/>
      <c r="H104" s="150"/>
      <c r="J104" s="229"/>
    </row>
    <row r="105" spans="1:10" ht="19.5" customHeight="1" x14ac:dyDescent="0.35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5">
      <c r="A106" s="174"/>
      <c r="B106" s="174"/>
      <c r="C106" s="174"/>
      <c r="D106" s="174"/>
      <c r="E106" s="174"/>
    </row>
    <row r="107" spans="1:10" ht="27" customHeight="1" x14ac:dyDescent="0.45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5">
      <c r="A108" s="124" t="s">
        <v>122</v>
      </c>
      <c r="B108" s="125">
        <v>5</v>
      </c>
      <c r="C108" s="275">
        <v>1</v>
      </c>
      <c r="D108" s="276">
        <v>9450676</v>
      </c>
      <c r="E108" s="250">
        <f t="shared" ref="E108:E113" si="1">IF(ISBLANK(D108),"-",D108/$D$103*$D$100*$B$116)</f>
        <v>192.16108227232175</v>
      </c>
      <c r="F108" s="277">
        <f t="shared" ref="F108:F113" si="2">IF(ISBLANK(D108), "-", (E108/$B$56)*100)</f>
        <v>96.080541136160875</v>
      </c>
    </row>
    <row r="109" spans="1:10" ht="26.25" customHeight="1" x14ac:dyDescent="0.45">
      <c r="A109" s="124" t="s">
        <v>95</v>
      </c>
      <c r="B109" s="125">
        <v>100</v>
      </c>
      <c r="C109" s="271">
        <v>2</v>
      </c>
      <c r="D109" s="273">
        <v>9560281</v>
      </c>
      <c r="E109" s="251">
        <f t="shared" si="1"/>
        <v>194.38968638725046</v>
      </c>
      <c r="F109" s="278">
        <f t="shared" si="2"/>
        <v>97.194843193625232</v>
      </c>
    </row>
    <row r="110" spans="1:10" ht="26.25" customHeight="1" x14ac:dyDescent="0.45">
      <c r="A110" s="124" t="s">
        <v>96</v>
      </c>
      <c r="B110" s="125">
        <v>1</v>
      </c>
      <c r="C110" s="271">
        <v>3</v>
      </c>
      <c r="D110" s="273">
        <v>9649270</v>
      </c>
      <c r="E110" s="251">
        <f t="shared" si="1"/>
        <v>196.19910431146366</v>
      </c>
      <c r="F110" s="278">
        <f t="shared" si="2"/>
        <v>98.099552155731828</v>
      </c>
    </row>
    <row r="111" spans="1:10" ht="26.25" customHeight="1" x14ac:dyDescent="0.45">
      <c r="A111" s="124" t="s">
        <v>97</v>
      </c>
      <c r="B111" s="125">
        <v>1</v>
      </c>
      <c r="C111" s="271">
        <v>4</v>
      </c>
      <c r="D111" s="273">
        <v>9611965</v>
      </c>
      <c r="E111" s="251">
        <f t="shared" si="1"/>
        <v>195.44057982346206</v>
      </c>
      <c r="F111" s="278">
        <f t="shared" si="2"/>
        <v>97.72028991173103</v>
      </c>
    </row>
    <row r="112" spans="1:10" ht="26.25" customHeight="1" x14ac:dyDescent="0.45">
      <c r="A112" s="124" t="s">
        <v>98</v>
      </c>
      <c r="B112" s="125">
        <v>1</v>
      </c>
      <c r="C112" s="271">
        <v>5</v>
      </c>
      <c r="D112" s="273">
        <v>9735296</v>
      </c>
      <c r="E112" s="251">
        <f t="shared" si="1"/>
        <v>197.94827540393987</v>
      </c>
      <c r="F112" s="278">
        <f t="shared" si="2"/>
        <v>98.974137701969937</v>
      </c>
    </row>
    <row r="113" spans="1:10" ht="27" customHeight="1" x14ac:dyDescent="0.45">
      <c r="A113" s="124" t="s">
        <v>100</v>
      </c>
      <c r="B113" s="125">
        <v>1</v>
      </c>
      <c r="C113" s="272">
        <v>6</v>
      </c>
      <c r="D113" s="274">
        <v>9695425</v>
      </c>
      <c r="E113" s="252">
        <f t="shared" si="1"/>
        <v>197.13757630566587</v>
      </c>
      <c r="F113" s="279">
        <f t="shared" si="2"/>
        <v>98.568788152832937</v>
      </c>
    </row>
    <row r="114" spans="1:10" ht="27" customHeight="1" x14ac:dyDescent="0.45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5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195.54605075068392</v>
      </c>
      <c r="F115" s="281">
        <f>AVERAGE(F108:F113)</f>
        <v>97.773025375341959</v>
      </c>
    </row>
    <row r="116" spans="1:10" ht="27" customHeight="1" x14ac:dyDescent="0.45">
      <c r="A116" s="124" t="s">
        <v>103</v>
      </c>
      <c r="B116" s="156">
        <f>(B115/B114)*(B113/B112)*(B111/B110)*(B109/B108)*B107</f>
        <v>18000</v>
      </c>
      <c r="C116" s="234"/>
      <c r="D116" s="258" t="s">
        <v>84</v>
      </c>
      <c r="E116" s="256">
        <f>STDEV(E108:E113)/E115</f>
        <v>1.0613357818281955E-2</v>
      </c>
      <c r="F116" s="235">
        <f>STDEV(F108:F113)/F115</f>
        <v>1.0613357818281955E-2</v>
      </c>
      <c r="I116" s="98"/>
    </row>
    <row r="117" spans="1:10" ht="27" customHeight="1" x14ac:dyDescent="0.45">
      <c r="A117" s="316" t="s">
        <v>78</v>
      </c>
      <c r="B117" s="317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5">
      <c r="A118" s="318"/>
      <c r="B118" s="319"/>
      <c r="C118" s="98"/>
      <c r="D118" s="260"/>
      <c r="E118" s="303" t="s">
        <v>123</v>
      </c>
      <c r="F118" s="304"/>
      <c r="G118" s="98"/>
      <c r="H118" s="98"/>
      <c r="I118" s="98"/>
    </row>
    <row r="119" spans="1:10" ht="25.5" customHeight="1" x14ac:dyDescent="0.45">
      <c r="A119" s="245"/>
      <c r="B119" s="120"/>
      <c r="C119" s="98"/>
      <c r="D119" s="258" t="s">
        <v>124</v>
      </c>
      <c r="E119" s="263">
        <f>MIN(E108:E113)</f>
        <v>192.16108227232175</v>
      </c>
      <c r="F119" s="282">
        <f>MIN(F108:F113)</f>
        <v>96.080541136160875</v>
      </c>
      <c r="G119" s="98"/>
      <c r="H119" s="98"/>
      <c r="I119" s="98"/>
    </row>
    <row r="120" spans="1:10" ht="24" customHeight="1" x14ac:dyDescent="0.45">
      <c r="A120" s="245"/>
      <c r="B120" s="120"/>
      <c r="C120" s="98"/>
      <c r="D120" s="167" t="s">
        <v>125</v>
      </c>
      <c r="E120" s="264">
        <f>MAX(E108:E113)</f>
        <v>197.94827540393987</v>
      </c>
      <c r="F120" s="283">
        <f>MAX(F108:F113)</f>
        <v>98.974137701969937</v>
      </c>
      <c r="G120" s="98"/>
      <c r="H120" s="98"/>
      <c r="I120" s="98"/>
    </row>
    <row r="121" spans="1:10" ht="27" customHeight="1" x14ac:dyDescent="0.35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5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" x14ac:dyDescent="0.35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85">
      <c r="A124" s="108" t="s">
        <v>106</v>
      </c>
      <c r="B124" s="197" t="s">
        <v>126</v>
      </c>
      <c r="C124" s="333" t="str">
        <f>B26</f>
        <v>Nevirapine</v>
      </c>
      <c r="D124" s="333"/>
      <c r="E124" s="198" t="s">
        <v>127</v>
      </c>
      <c r="F124" s="198"/>
      <c r="G124" s="284">
        <f>F115</f>
        <v>97.773025375341959</v>
      </c>
      <c r="H124" s="98"/>
      <c r="I124" s="98"/>
    </row>
    <row r="125" spans="1:10" ht="45.75" customHeight="1" x14ac:dyDescent="0.85">
      <c r="A125" s="108"/>
      <c r="B125" s="197" t="s">
        <v>128</v>
      </c>
      <c r="C125" s="109" t="s">
        <v>129</v>
      </c>
      <c r="D125" s="284">
        <f>MIN(F108:F113)</f>
        <v>96.080541136160875</v>
      </c>
      <c r="E125" s="209" t="s">
        <v>130</v>
      </c>
      <c r="F125" s="284">
        <f>MAX(F108:F113)</f>
        <v>98.974137701969937</v>
      </c>
      <c r="G125" s="199"/>
      <c r="H125" s="98"/>
      <c r="I125" s="98"/>
    </row>
    <row r="126" spans="1:10" ht="19.5" customHeight="1" x14ac:dyDescent="0.35">
      <c r="A126" s="237"/>
      <c r="B126" s="237"/>
      <c r="C126" s="238"/>
      <c r="D126" s="238"/>
      <c r="E126" s="238"/>
      <c r="F126" s="238"/>
      <c r="G126" s="238"/>
      <c r="H126" s="238"/>
    </row>
    <row r="127" spans="1:10" ht="18" x14ac:dyDescent="0.35">
      <c r="B127" s="336" t="s">
        <v>26</v>
      </c>
      <c r="C127" s="336"/>
      <c r="E127" s="204" t="s">
        <v>27</v>
      </c>
      <c r="F127" s="239"/>
      <c r="G127" s="336" t="s">
        <v>28</v>
      </c>
      <c r="H127" s="336"/>
    </row>
    <row r="128" spans="1:10" ht="69.900000000000006" customHeight="1" x14ac:dyDescent="0.35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00000000000006" customHeight="1" x14ac:dyDescent="0.35">
      <c r="A129" s="240" t="s">
        <v>30</v>
      </c>
      <c r="B129" s="243"/>
      <c r="C129" s="243"/>
      <c r="E129" s="243"/>
      <c r="F129" s="98"/>
      <c r="G129" s="244"/>
      <c r="H129" s="244"/>
    </row>
    <row r="130" spans="1:9" ht="18" x14ac:dyDescent="0.35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" x14ac:dyDescent="0.35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" x14ac:dyDescent="0.35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" x14ac:dyDescent="0.35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" x14ac:dyDescent="0.35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" x14ac:dyDescent="0.35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" x14ac:dyDescent="0.35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" x14ac:dyDescent="0.35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" x14ac:dyDescent="0.35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27:C27"/>
    <mergeCell ref="C29:G29"/>
    <mergeCell ref="C31:H31"/>
    <mergeCell ref="I39:I40"/>
    <mergeCell ref="A46:B47"/>
    <mergeCell ref="C60:C63"/>
    <mergeCell ref="D60:D63"/>
    <mergeCell ref="B26:C26"/>
    <mergeCell ref="A16:H16"/>
    <mergeCell ref="A17:H17"/>
    <mergeCell ref="B18:C18"/>
    <mergeCell ref="B20:C20"/>
    <mergeCell ref="B21:H21"/>
    <mergeCell ref="C32:H32"/>
    <mergeCell ref="D36:E36"/>
    <mergeCell ref="F36:G36"/>
    <mergeCell ref="B79:C79"/>
    <mergeCell ref="B80:C80"/>
    <mergeCell ref="E118:F118"/>
    <mergeCell ref="C64:C67"/>
    <mergeCell ref="D64:D67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Nevirapine</vt:lpstr>
      <vt:lpstr>Nevirapine!Print_Area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2017-10-31T08:24:10Z</cp:lastPrinted>
  <dcterms:created xsi:type="dcterms:W3CDTF">2005-07-05T10:19:27Z</dcterms:created>
  <dcterms:modified xsi:type="dcterms:W3CDTF">2017-10-31T08:25:58Z</dcterms:modified>
</cp:coreProperties>
</file>