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 Efavirenz" sheetId="6" r:id="rId1"/>
    <sheet name="SST TDF" sheetId="7" r:id="rId2"/>
    <sheet name="SST Lamivudine" sheetId="8" r:id="rId3"/>
    <sheet name="Uniformity" sheetId="2" r:id="rId4"/>
    <sheet name="Tenofovir Disoproxil Fumarate" sheetId="3" r:id="rId5"/>
    <sheet name="Lamivudine" sheetId="4" r:id="rId6"/>
    <sheet name="Efavirenz" sheetId="5" r:id="rId7"/>
  </sheets>
  <definedNames>
    <definedName name="_xlnm.Print_Area" localSheetId="6">Efavirenz!$A$1:$I$129</definedName>
    <definedName name="_xlnm.Print_Area" localSheetId="5">Lamivudine!$A$1:$I$129</definedName>
    <definedName name="_xlnm.Print_Area" localSheetId="0">'SST Efavirenz'!$A$15:$H$61</definedName>
    <definedName name="_xlnm.Print_Area" localSheetId="2">'SST Lamivudine'!$A$15:$H$61</definedName>
    <definedName name="_xlnm.Print_Area" localSheetId="1">'SST TDF'!$A$15:$H$61</definedName>
    <definedName name="_xlnm.Print_Area" localSheetId="4">'Tenofovir Disoproxil Fumarate'!$A$1:$I$129</definedName>
    <definedName name="_xlnm.Print_Area" localSheetId="3">Uniformity!$A$12:$Q$54</definedName>
  </definedNames>
  <calcPr calcId="145621"/>
</workbook>
</file>

<file path=xl/calcChain.xml><?xml version="1.0" encoding="utf-8"?>
<calcChain xmlns="http://schemas.openxmlformats.org/spreadsheetml/2006/main">
  <c r="B42" i="8" l="1"/>
  <c r="B42" i="7"/>
  <c r="E51" i="7"/>
  <c r="E30" i="7"/>
  <c r="E51" i="6"/>
  <c r="E30" i="6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F51" i="7"/>
  <c r="D51" i="7"/>
  <c r="C51" i="7"/>
  <c r="B51" i="7"/>
  <c r="B52" i="7" s="1"/>
  <c r="B32" i="7"/>
  <c r="F30" i="7"/>
  <c r="D30" i="7"/>
  <c r="C30" i="7"/>
  <c r="B30" i="7"/>
  <c r="B31" i="7" s="1"/>
  <c r="B21" i="7"/>
  <c r="B53" i="6"/>
  <c r="F51" i="6"/>
  <c r="D51" i="6"/>
  <c r="C51" i="6"/>
  <c r="B51" i="6"/>
  <c r="B52" i="6" s="1"/>
  <c r="B32" i="6"/>
  <c r="F30" i="6"/>
  <c r="D30" i="6"/>
  <c r="C30" i="6"/>
  <c r="B30" i="6"/>
  <c r="B31" i="6" s="1"/>
  <c r="B21" i="6"/>
  <c r="C124" i="5"/>
  <c r="B116" i="5"/>
  <c r="D100" i="5" s="1"/>
  <c r="B98" i="5"/>
  <c r="F95" i="5"/>
  <c r="D95" i="5"/>
  <c r="B87" i="5"/>
  <c r="F97" i="5" s="1"/>
  <c r="B83" i="5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C46" i="2"/>
  <c r="D49" i="2" s="1"/>
  <c r="C45" i="2"/>
  <c r="D35" i="2"/>
  <c r="D27" i="2"/>
  <c r="C19" i="2"/>
  <c r="I92" i="3" l="1"/>
  <c r="D101" i="3"/>
  <c r="G94" i="3" s="1"/>
  <c r="I92" i="4"/>
  <c r="D101" i="4"/>
  <c r="F97" i="4"/>
  <c r="F98" i="4" s="1"/>
  <c r="D101" i="5"/>
  <c r="D102" i="5" s="1"/>
  <c r="F98" i="5"/>
  <c r="F99" i="5" s="1"/>
  <c r="I92" i="5"/>
  <c r="I39" i="5"/>
  <c r="I39" i="4"/>
  <c r="D46" i="5"/>
  <c r="F44" i="5"/>
  <c r="F45" i="5"/>
  <c r="F46" i="5" s="1"/>
  <c r="D45" i="4"/>
  <c r="D46" i="4" s="1"/>
  <c r="F44" i="4"/>
  <c r="F45" i="4"/>
  <c r="F46" i="4" s="1"/>
  <c r="D49" i="3"/>
  <c r="D24" i="2"/>
  <c r="D36" i="2"/>
  <c r="F97" i="3"/>
  <c r="F98" i="3" s="1"/>
  <c r="F99" i="3" s="1"/>
  <c r="D97" i="3"/>
  <c r="D98" i="3" s="1"/>
  <c r="D102" i="3"/>
  <c r="D49" i="4"/>
  <c r="E40" i="4"/>
  <c r="E41" i="4"/>
  <c r="D25" i="2"/>
  <c r="D29" i="2"/>
  <c r="D33" i="2"/>
  <c r="D37" i="2"/>
  <c r="D43" i="2"/>
  <c r="E38" i="4"/>
  <c r="D98" i="4"/>
  <c r="E91" i="4" s="1"/>
  <c r="B57" i="5"/>
  <c r="B69" i="5" s="1"/>
  <c r="B57" i="4"/>
  <c r="D50" i="2"/>
  <c r="B49" i="2"/>
  <c r="D42" i="2"/>
  <c r="D38" i="2"/>
  <c r="D32" i="2"/>
  <c r="D45" i="3"/>
  <c r="D46" i="3" s="1"/>
  <c r="B69" i="4"/>
  <c r="D26" i="2"/>
  <c r="D30" i="2"/>
  <c r="D34" i="2"/>
  <c r="D39" i="2"/>
  <c r="C50" i="2"/>
  <c r="F44" i="3"/>
  <c r="F45" i="3" s="1"/>
  <c r="F46" i="3" s="1"/>
  <c r="B57" i="3"/>
  <c r="B69" i="3" s="1"/>
  <c r="D102" i="4"/>
  <c r="E41" i="5"/>
  <c r="G39" i="5"/>
  <c r="E39" i="5"/>
  <c r="D49" i="5"/>
  <c r="E40" i="5"/>
  <c r="E38" i="5"/>
  <c r="G94" i="5"/>
  <c r="G92" i="5"/>
  <c r="D31" i="2"/>
  <c r="D40" i="2"/>
  <c r="D28" i="2"/>
  <c r="D41" i="2"/>
  <c r="C49" i="2"/>
  <c r="D97" i="5"/>
  <c r="D98" i="5" s="1"/>
  <c r="D99" i="5" s="1"/>
  <c r="E91" i="3" l="1"/>
  <c r="G92" i="3"/>
  <c r="G91" i="3"/>
  <c r="E92" i="4"/>
  <c r="F99" i="4"/>
  <c r="G94" i="4"/>
  <c r="G91" i="4"/>
  <c r="G92" i="4"/>
  <c r="G93" i="4"/>
  <c r="E94" i="4"/>
  <c r="G91" i="5"/>
  <c r="G93" i="5"/>
  <c r="G39" i="3"/>
  <c r="E40" i="3"/>
  <c r="G38" i="5"/>
  <c r="G40" i="5"/>
  <c r="G41" i="5"/>
  <c r="G40" i="4"/>
  <c r="G39" i="4"/>
  <c r="E39" i="4"/>
  <c r="G38" i="4"/>
  <c r="G41" i="4"/>
  <c r="E93" i="3"/>
  <c r="G93" i="3"/>
  <c r="E41" i="3"/>
  <c r="E38" i="3"/>
  <c r="E92" i="5"/>
  <c r="E91" i="5"/>
  <c r="D99" i="3"/>
  <c r="E94" i="3"/>
  <c r="G41" i="3"/>
  <c r="E93" i="5"/>
  <c r="E42" i="5"/>
  <c r="E39" i="3"/>
  <c r="D99" i="4"/>
  <c r="E93" i="4"/>
  <c r="G40" i="3"/>
  <c r="E92" i="3"/>
  <c r="G38" i="3"/>
  <c r="E94" i="5"/>
  <c r="G95" i="3" l="1"/>
  <c r="D105" i="3"/>
  <c r="E95" i="4"/>
  <c r="G95" i="4"/>
  <c r="D103" i="4"/>
  <c r="E112" i="4" s="1"/>
  <c r="F112" i="4" s="1"/>
  <c r="D105" i="4"/>
  <c r="G95" i="5"/>
  <c r="D50" i="4"/>
  <c r="D51" i="4" s="1"/>
  <c r="E42" i="3"/>
  <c r="D52" i="5"/>
  <c r="D50" i="5"/>
  <c r="D51" i="5" s="1"/>
  <c r="G42" i="5"/>
  <c r="G42" i="4"/>
  <c r="D52" i="4"/>
  <c r="E42" i="4"/>
  <c r="D52" i="3"/>
  <c r="D103" i="3"/>
  <c r="E108" i="3" s="1"/>
  <c r="D50" i="3"/>
  <c r="G66" i="3" s="1"/>
  <c r="H66" i="3" s="1"/>
  <c r="E95" i="3"/>
  <c r="G42" i="3"/>
  <c r="E112" i="3"/>
  <c r="F112" i="3" s="1"/>
  <c r="G70" i="4"/>
  <c r="H70" i="4" s="1"/>
  <c r="G61" i="4"/>
  <c r="H61" i="4" s="1"/>
  <c r="G60" i="4"/>
  <c r="G64" i="4"/>
  <c r="H64" i="4" s="1"/>
  <c r="G62" i="4"/>
  <c r="H62" i="4" s="1"/>
  <c r="D103" i="5"/>
  <c r="E95" i="5"/>
  <c r="D105" i="5"/>
  <c r="E109" i="3" l="1"/>
  <c r="F109" i="3" s="1"/>
  <c r="D104" i="3"/>
  <c r="E111" i="3"/>
  <c r="F111" i="3" s="1"/>
  <c r="E110" i="3"/>
  <c r="F110" i="3" s="1"/>
  <c r="E113" i="4"/>
  <c r="F113" i="4" s="1"/>
  <c r="D104" i="4"/>
  <c r="E108" i="4"/>
  <c r="E109" i="4"/>
  <c r="F109" i="4" s="1"/>
  <c r="E110" i="4"/>
  <c r="F110" i="4" s="1"/>
  <c r="E111" i="4"/>
  <c r="F111" i="4" s="1"/>
  <c r="G69" i="4"/>
  <c r="H69" i="4" s="1"/>
  <c r="G65" i="4"/>
  <c r="H65" i="4" s="1"/>
  <c r="G66" i="4"/>
  <c r="H66" i="4" s="1"/>
  <c r="G67" i="4"/>
  <c r="H67" i="4" s="1"/>
  <c r="G68" i="4"/>
  <c r="H68" i="4" s="1"/>
  <c r="G71" i="4"/>
  <c r="H71" i="4" s="1"/>
  <c r="G63" i="4"/>
  <c r="H63" i="4" s="1"/>
  <c r="G71" i="5"/>
  <c r="H71" i="5" s="1"/>
  <c r="G66" i="5"/>
  <c r="H66" i="5" s="1"/>
  <c r="G65" i="5"/>
  <c r="H65" i="5" s="1"/>
  <c r="G67" i="5"/>
  <c r="H67" i="5" s="1"/>
  <c r="G64" i="5"/>
  <c r="H64" i="5" s="1"/>
  <c r="G61" i="5"/>
  <c r="H61" i="5" s="1"/>
  <c r="G62" i="5"/>
  <c r="H62" i="5" s="1"/>
  <c r="G68" i="5"/>
  <c r="H68" i="5" s="1"/>
  <c r="G70" i="5"/>
  <c r="H70" i="5" s="1"/>
  <c r="G60" i="5"/>
  <c r="H60" i="5" s="1"/>
  <c r="G69" i="5"/>
  <c r="H69" i="5" s="1"/>
  <c r="G63" i="5"/>
  <c r="H63" i="5" s="1"/>
  <c r="G67" i="3"/>
  <c r="H67" i="3" s="1"/>
  <c r="G69" i="3"/>
  <c r="H69" i="3" s="1"/>
  <c r="G61" i="3"/>
  <c r="H61" i="3" s="1"/>
  <c r="G71" i="3"/>
  <c r="H71" i="3" s="1"/>
  <c r="G60" i="3"/>
  <c r="H60" i="3" s="1"/>
  <c r="G62" i="3"/>
  <c r="H62" i="3" s="1"/>
  <c r="G65" i="3"/>
  <c r="H65" i="3" s="1"/>
  <c r="G70" i="3"/>
  <c r="H70" i="3" s="1"/>
  <c r="G64" i="3"/>
  <c r="H64" i="3" s="1"/>
  <c r="G68" i="3"/>
  <c r="H68" i="3" s="1"/>
  <c r="E113" i="3"/>
  <c r="F113" i="3" s="1"/>
  <c r="G63" i="3"/>
  <c r="H63" i="3" s="1"/>
  <c r="D51" i="3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H60" i="4"/>
  <c r="F108" i="3"/>
  <c r="E119" i="3" l="1"/>
  <c r="E115" i="3"/>
  <c r="E116" i="3" s="1"/>
  <c r="E117" i="3"/>
  <c r="E115" i="4"/>
  <c r="E116" i="4" s="1"/>
  <c r="E119" i="4"/>
  <c r="E117" i="4"/>
  <c r="E120" i="4"/>
  <c r="F108" i="4"/>
  <c r="F117" i="4" s="1"/>
  <c r="G72" i="4"/>
  <c r="G73" i="4" s="1"/>
  <c r="G74" i="4"/>
  <c r="G74" i="5"/>
  <c r="G72" i="5"/>
  <c r="G73" i="5" s="1"/>
  <c r="G74" i="3"/>
  <c r="G72" i="3"/>
  <c r="G73" i="3" s="1"/>
  <c r="E120" i="3"/>
  <c r="H72" i="3"/>
  <c r="H74" i="3"/>
  <c r="H74" i="4"/>
  <c r="H72" i="4"/>
  <c r="F125" i="3"/>
  <c r="F120" i="3"/>
  <c r="F117" i="3"/>
  <c r="F119" i="3"/>
  <c r="D125" i="3"/>
  <c r="F115" i="3"/>
  <c r="E120" i="5"/>
  <c r="E117" i="5"/>
  <c r="F108" i="5"/>
  <c r="E115" i="5"/>
  <c r="E116" i="5" s="1"/>
  <c r="E119" i="5"/>
  <c r="H74" i="5"/>
  <c r="H72" i="5"/>
  <c r="F125" i="4" l="1"/>
  <c r="F115" i="4"/>
  <c r="F116" i="4" s="1"/>
  <c r="D125" i="4"/>
  <c r="F119" i="4"/>
  <c r="F120" i="4"/>
  <c r="G76" i="5"/>
  <c r="H73" i="5"/>
  <c r="F125" i="5"/>
  <c r="F120" i="5"/>
  <c r="F117" i="5"/>
  <c r="D125" i="5"/>
  <c r="F115" i="5"/>
  <c r="F119" i="5"/>
  <c r="G124" i="3"/>
  <c r="F116" i="3"/>
  <c r="G76" i="3"/>
  <c r="H73" i="3"/>
  <c r="G76" i="4"/>
  <c r="H73" i="4"/>
  <c r="G124" i="4" l="1"/>
  <c r="G124" i="5"/>
  <c r="F116" i="5"/>
</calcChain>
</file>

<file path=xl/sharedStrings.xml><?xml version="1.0" encoding="utf-8"?>
<sst xmlns="http://schemas.openxmlformats.org/spreadsheetml/2006/main" count="669" uniqueCount="144">
  <si>
    <t>HPLC System Suitability Report</t>
  </si>
  <si>
    <t>Analysis Data</t>
  </si>
  <si>
    <t>Assay</t>
  </si>
  <si>
    <t>Sample(s)</t>
  </si>
  <si>
    <t>Reference Substance:</t>
  </si>
  <si>
    <t>EFAVIRENZ, LAMIVUDINE AND TENOFOVIR DISOPROXIL FUMARATE TABLETS 600 MG/ 300 MG/ 300 MG</t>
  </si>
  <si>
    <t>% age Purity:</t>
  </si>
  <si>
    <t>NDQB201707028</t>
  </si>
  <si>
    <t>Weight (mg):</t>
  </si>
  <si>
    <t xml:space="preserve">Efavirenz , Lamivudine  and Tenofovir Disoproxil Fumarate </t>
  </si>
  <si>
    <t>Standard Conc (mg/mL):</t>
  </si>
  <si>
    <t>Each film coatred tablets contains: Efavirenz 600 mg, Emtricitabine 200mg, and Tenofovir Disoproxil Fumarate 300 mg Tablets equivant to Tenifovir Disoproxil 245 mg</t>
  </si>
  <si>
    <t>2017-07-19 10:56:05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</si>
  <si>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</si>
  <si>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</si>
  <si>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</si>
  <si>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</si>
  <si>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</si>
  <si>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</si>
  <si>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</si>
  <si>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</si>
  <si>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</si>
  <si>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</si>
  <si>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</si>
  <si>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</si>
  <si>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</si>
  <si>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</si>
  <si>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</si>
  <si>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</si>
  <si>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</si>
  <si>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</si>
  <si>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</si>
  <si>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</si>
  <si>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</si>
  <si>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</si>
  <si>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</si>
  <si>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</si>
  <si>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</si>
  <si>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</si>
  <si>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</si>
  <si>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</si>
  <si>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</si>
  <si>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</si>
  <si>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</si>
  <si>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</si>
  <si>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</si>
  <si>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</si>
  <si>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</si>
  <si>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</si>
  <si>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</si>
  <si>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</si>
  <si>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</si>
  <si>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</si>
  <si>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</si>
  <si>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</si>
  <si>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</si>
  <si>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</si>
  <si>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</si>
  <si>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</si>
  <si>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</si>
  <si>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</si>
  <si>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</si>
  <si>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</si>
  <si>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</si>
  <si>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</si>
  <si>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</si>
  <si>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</si>
  <si>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</si>
  <si>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</si>
  <si>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</si>
  <si>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</si>
  <si>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</si>
  <si>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</si>
  <si>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</si>
  <si>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</si>
  <si>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</si>
  <si>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</si>
  <si>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</si>
  <si>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</si>
  <si>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</si>
  <si>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</si>
  <si>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</si>
  <si>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</si>
  <si>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</si>
  <si>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</si>
  <si>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</si>
  <si>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</si>
  <si>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</si>
  <si>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</si>
  <si>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</si>
  <si>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</si>
  <si>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</si>
  <si>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</si>
  <si>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</si>
  <si>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</si>
  <si>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</si>
  <si>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</si>
  <si>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</si>
  <si>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</si>
  <si>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</si>
  <si>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</si>
  <si>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</si>
  <si>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</si>
  <si>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</si>
  <si>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</si>
  <si>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</si>
  <si>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</si>
  <si>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</si>
  <si>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</si>
  <si>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</si>
  <si>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</si>
  <si>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</si>
  <si>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</si>
  <si>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</si>
  <si>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</si>
  <si>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</si>
  <si>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</si>
  <si>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</si>
  <si>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</si>
  <si>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</si>
  <si>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</si>
  <si>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</si>
  <si>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</si>
  <si>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</si>
  <si>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</si>
  <si>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</si>
  <si>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</si>
  <si>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</si>
  <si>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Tenofovir Disoproxil Fumarate </t>
  </si>
  <si>
    <t>T11-10</t>
  </si>
  <si>
    <t xml:space="preserve"> Lamivudine  </t>
  </si>
  <si>
    <t>L3-10</t>
  </si>
  <si>
    <t xml:space="preserve">Efavirenz </t>
  </si>
  <si>
    <t>E15-6</t>
  </si>
  <si>
    <t>TENOFOVIR DISOPROXIL FUMARATE/  LAMIVUDINE/ EFAVIRENZ  TABLETS 300 MG/300 MG /600 MG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</si>
  <si>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</si>
  <si>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</si>
  <si>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</si>
  <si>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Resolution(USP)</t>
  </si>
  <si>
    <t>Efavirenz</t>
  </si>
  <si>
    <t>The number of Theoretical Plates (USP) for all peaks should be NLT 10000</t>
  </si>
  <si>
    <t>RUTTO KENNEDY</t>
  </si>
  <si>
    <t xml:space="preserve">                         Tenofovir Disoproxil Fumarate 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</si>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</sst>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7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26" fillId="2" borderId="0" xfId="1" applyNumberFormat="1" applyFont="1" applyFill="1" applyBorder="1"/>
    <xf numFmtId="15" fontId="26" fillId="2" borderId="7" xfId="1" applyNumberFormat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4" workbookViewId="0">
      <selection activeCell="A30" sqref="A30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1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134</v>
      </c>
      <c r="D17" s="620"/>
      <c r="E17" s="620"/>
      <c r="F17" s="621"/>
    </row>
    <row r="18" spans="1:6" ht="16.5" customHeight="1" x14ac:dyDescent="0.3">
      <c r="A18" s="622" t="s">
        <v>4</v>
      </c>
      <c r="B18" s="619" t="s">
        <v>139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97.21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24.05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B20/100</f>
        <v>0.24050000000000002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138</v>
      </c>
      <c r="F23" s="625" t="s">
        <v>17</v>
      </c>
    </row>
    <row r="24" spans="1:6" ht="16.5" customHeight="1" x14ac:dyDescent="0.3">
      <c r="A24" s="627">
        <v>1</v>
      </c>
      <c r="B24" s="628">
        <v>4131605</v>
      </c>
      <c r="C24" s="628">
        <v>372079</v>
      </c>
      <c r="D24" s="629">
        <v>1.2</v>
      </c>
      <c r="E24" s="629">
        <v>38.799999999999997</v>
      </c>
      <c r="F24" s="630">
        <v>25.2</v>
      </c>
    </row>
    <row r="25" spans="1:6" ht="16.5" customHeight="1" x14ac:dyDescent="0.3">
      <c r="A25" s="627">
        <v>2</v>
      </c>
      <c r="B25" s="628">
        <v>4138787</v>
      </c>
      <c r="C25" s="628">
        <v>371813</v>
      </c>
      <c r="D25" s="629">
        <v>1.2</v>
      </c>
      <c r="E25" s="629">
        <v>38.700000000000003</v>
      </c>
      <c r="F25" s="629">
        <v>25.2</v>
      </c>
    </row>
    <row r="26" spans="1:6" ht="16.5" customHeight="1" x14ac:dyDescent="0.3">
      <c r="A26" s="627">
        <v>3</v>
      </c>
      <c r="B26" s="628">
        <v>4131064</v>
      </c>
      <c r="C26" s="628">
        <v>372887.8</v>
      </c>
      <c r="D26" s="629">
        <v>1.2</v>
      </c>
      <c r="E26" s="629">
        <v>38.799999999999997</v>
      </c>
      <c r="F26" s="629">
        <v>25.2</v>
      </c>
    </row>
    <row r="27" spans="1:6" ht="16.5" customHeight="1" x14ac:dyDescent="0.3">
      <c r="A27" s="627">
        <v>4</v>
      </c>
      <c r="B27" s="628">
        <v>4132885</v>
      </c>
      <c r="C27" s="628">
        <v>373302.5</v>
      </c>
      <c r="D27" s="629">
        <v>1.3</v>
      </c>
      <c r="E27" s="629">
        <v>38.6</v>
      </c>
      <c r="F27" s="629">
        <v>25.2</v>
      </c>
    </row>
    <row r="28" spans="1:6" ht="16.5" customHeight="1" x14ac:dyDescent="0.3">
      <c r="A28" s="627">
        <v>5</v>
      </c>
      <c r="B28" s="628">
        <v>4106927</v>
      </c>
      <c r="C28" s="628">
        <v>372799.3</v>
      </c>
      <c r="D28" s="629">
        <v>1.3</v>
      </c>
      <c r="E28" s="629">
        <v>38.700000000000003</v>
      </c>
      <c r="F28" s="629">
        <v>25.2</v>
      </c>
    </row>
    <row r="29" spans="1:6" ht="16.5" customHeight="1" x14ac:dyDescent="0.3">
      <c r="A29" s="627">
        <v>6</v>
      </c>
      <c r="B29" s="631">
        <v>4153058</v>
      </c>
      <c r="C29" s="631">
        <v>373208.1</v>
      </c>
      <c r="D29" s="632">
        <v>1.2</v>
      </c>
      <c r="E29" s="632">
        <v>38.799999999999997</v>
      </c>
      <c r="F29" s="632">
        <v>25.1</v>
      </c>
    </row>
    <row r="30" spans="1:6" ht="16.5" customHeight="1" x14ac:dyDescent="0.3">
      <c r="A30" s="633" t="s">
        <v>18</v>
      </c>
      <c r="B30" s="634">
        <f>AVERAGE(B24:B29)</f>
        <v>4132387.6666666665</v>
      </c>
      <c r="C30" s="635">
        <f>AVERAGE(C24:C29)</f>
        <v>372681.6166666667</v>
      </c>
      <c r="D30" s="636">
        <f>AVERAGE(D24:D29)</f>
        <v>1.2333333333333332</v>
      </c>
      <c r="E30" s="636">
        <f>AVERAGE(E24:E29)</f>
        <v>38.733333333333341</v>
      </c>
      <c r="F30" s="636">
        <f>AVERAGE(F24:F29)</f>
        <v>25.183333333333334</v>
      </c>
    </row>
    <row r="31" spans="1:6" ht="16.5" customHeight="1" x14ac:dyDescent="0.3">
      <c r="A31" s="637" t="s">
        <v>19</v>
      </c>
      <c r="B31" s="638">
        <f>(STDEV(B24:B29)/B30)</f>
        <v>3.6202861327755539E-3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135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140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137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22</v>
      </c>
    </row>
    <row r="39" spans="1:6" ht="16.5" customHeight="1" x14ac:dyDescent="0.3">
      <c r="A39" s="622" t="s">
        <v>4</v>
      </c>
      <c r="B39" s="619" t="s">
        <v>139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97.21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28.47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v>0.56940000000000002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138</v>
      </c>
      <c r="F44" s="625" t="s">
        <v>17</v>
      </c>
    </row>
    <row r="45" spans="1:6" ht="16.5" customHeight="1" x14ac:dyDescent="0.3">
      <c r="A45" s="627">
        <v>1</v>
      </c>
      <c r="B45" s="628">
        <v>2102763</v>
      </c>
      <c r="C45" s="628">
        <v>11384</v>
      </c>
      <c r="D45" s="629">
        <v>1.53</v>
      </c>
      <c r="E45" s="629">
        <v>2.23</v>
      </c>
      <c r="F45" s="630">
        <v>8.68</v>
      </c>
    </row>
    <row r="46" spans="1:6" ht="16.5" customHeight="1" x14ac:dyDescent="0.3">
      <c r="A46" s="627">
        <v>2</v>
      </c>
      <c r="B46" s="628">
        <v>2105212</v>
      </c>
      <c r="C46" s="628">
        <v>11177</v>
      </c>
      <c r="D46" s="629">
        <v>1.5</v>
      </c>
      <c r="E46" s="629">
        <v>2.2000000000000002</v>
      </c>
      <c r="F46" s="629">
        <v>8.69</v>
      </c>
    </row>
    <row r="47" spans="1:6" ht="16.5" customHeight="1" x14ac:dyDescent="0.3">
      <c r="A47" s="627">
        <v>3</v>
      </c>
      <c r="B47" s="628">
        <v>2110501</v>
      </c>
      <c r="C47" s="628">
        <v>11050</v>
      </c>
      <c r="D47" s="629">
        <v>1.5</v>
      </c>
      <c r="E47" s="629">
        <v>2.19</v>
      </c>
      <c r="F47" s="629">
        <v>8.69</v>
      </c>
    </row>
    <row r="48" spans="1:6" ht="16.5" customHeight="1" x14ac:dyDescent="0.3">
      <c r="A48" s="627">
        <v>4</v>
      </c>
      <c r="B48" s="628">
        <v>2103257</v>
      </c>
      <c r="C48" s="628">
        <v>11095</v>
      </c>
      <c r="D48" s="629">
        <v>1.59</v>
      </c>
      <c r="E48" s="629">
        <v>2.2000000000000002</v>
      </c>
      <c r="F48" s="629">
        <v>8.68</v>
      </c>
    </row>
    <row r="49" spans="1:8" ht="16.5" customHeight="1" x14ac:dyDescent="0.3">
      <c r="A49" s="627">
        <v>5</v>
      </c>
      <c r="B49" s="628">
        <v>2127510</v>
      </c>
      <c r="C49" s="628">
        <v>11438</v>
      </c>
      <c r="D49" s="629">
        <v>1.57</v>
      </c>
      <c r="E49" s="629">
        <v>2.21</v>
      </c>
      <c r="F49" s="629">
        <v>8.68</v>
      </c>
    </row>
    <row r="50" spans="1:8" ht="16.5" customHeight="1" x14ac:dyDescent="0.3">
      <c r="A50" s="627">
        <v>6</v>
      </c>
      <c r="B50" s="631">
        <v>2117497</v>
      </c>
      <c r="C50" s="631">
        <v>11266</v>
      </c>
      <c r="D50" s="632">
        <v>1.61</v>
      </c>
      <c r="E50" s="632">
        <v>2.17</v>
      </c>
      <c r="F50" s="632">
        <v>8.68</v>
      </c>
    </row>
    <row r="51" spans="1:8" ht="16.5" customHeight="1" x14ac:dyDescent="0.3">
      <c r="A51" s="633" t="s">
        <v>18</v>
      </c>
      <c r="B51" s="634">
        <f>AVERAGE(B45:B50)</f>
        <v>2111123.3333333335</v>
      </c>
      <c r="C51" s="635">
        <f>AVERAGE(C45:C50)</f>
        <v>11235</v>
      </c>
      <c r="D51" s="636">
        <f>AVERAGE(D45:D50)</f>
        <v>1.55</v>
      </c>
      <c r="E51" s="636">
        <f>AVERAGE(E45:E50)</f>
        <v>2.2000000000000002</v>
      </c>
      <c r="F51" s="636">
        <f>AVERAGE(F45:F50)</f>
        <v>8.6833333333333318</v>
      </c>
    </row>
    <row r="52" spans="1:8" ht="16.5" customHeight="1" x14ac:dyDescent="0.3">
      <c r="A52" s="637" t="s">
        <v>19</v>
      </c>
      <c r="B52" s="638">
        <f>(STDEV(B45:B50)/B51)</f>
        <v>4.6229564332500904E-3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135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136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137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709"/>
      <c r="G58" s="651"/>
      <c r="H58" s="651"/>
    </row>
    <row r="59" spans="1:8" ht="15" customHeight="1" x14ac:dyDescent="0.3">
      <c r="B59" s="659" t="s">
        <v>23</v>
      </c>
      <c r="C59" s="659"/>
      <c r="F59" s="652" t="s">
        <v>24</v>
      </c>
      <c r="G59" s="653"/>
      <c r="H59" s="652" t="s">
        <v>25</v>
      </c>
    </row>
    <row r="60" spans="1:8" ht="15" customHeight="1" x14ac:dyDescent="0.3">
      <c r="A60" s="654" t="s">
        <v>26</v>
      </c>
      <c r="B60" s="655" t="s">
        <v>141</v>
      </c>
      <c r="C60" s="655"/>
      <c r="F60" s="710">
        <v>43006</v>
      </c>
      <c r="H60" s="655"/>
    </row>
    <row r="61" spans="1:8" ht="15" customHeight="1" x14ac:dyDescent="0.3">
      <c r="A61" s="654" t="s">
        <v>27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1" workbookViewId="0">
      <selection activeCell="A31" sqref="A3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1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134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142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99.54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11.3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B20/100</f>
        <v>0.113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138</v>
      </c>
      <c r="F23" s="625" t="s">
        <v>17</v>
      </c>
    </row>
    <row r="24" spans="1:6" ht="16.5" customHeight="1" x14ac:dyDescent="0.3">
      <c r="A24" s="627">
        <v>1</v>
      </c>
      <c r="B24" s="628">
        <v>9722180</v>
      </c>
      <c r="C24" s="628">
        <v>43315</v>
      </c>
      <c r="D24" s="629">
        <v>1.1000000000000001</v>
      </c>
      <c r="E24" s="629">
        <v>43.2</v>
      </c>
      <c r="F24" s="630">
        <v>16</v>
      </c>
    </row>
    <row r="25" spans="1:6" ht="16.5" customHeight="1" x14ac:dyDescent="0.3">
      <c r="A25" s="627">
        <v>2</v>
      </c>
      <c r="B25" s="628">
        <v>9752828</v>
      </c>
      <c r="C25" s="628">
        <v>43066.5</v>
      </c>
      <c r="D25" s="629">
        <v>1.1000000000000001</v>
      </c>
      <c r="E25" s="629">
        <v>43.2</v>
      </c>
      <c r="F25" s="629">
        <v>16</v>
      </c>
    </row>
    <row r="26" spans="1:6" ht="16.5" customHeight="1" x14ac:dyDescent="0.3">
      <c r="A26" s="627">
        <v>3</v>
      </c>
      <c r="B26" s="628">
        <v>9715168</v>
      </c>
      <c r="C26" s="628">
        <v>43341.5</v>
      </c>
      <c r="D26" s="629">
        <v>1.1000000000000001</v>
      </c>
      <c r="E26" s="629">
        <v>43.4</v>
      </c>
      <c r="F26" s="629">
        <v>16</v>
      </c>
    </row>
    <row r="27" spans="1:6" ht="16.5" customHeight="1" x14ac:dyDescent="0.3">
      <c r="A27" s="627">
        <v>4</v>
      </c>
      <c r="B27" s="628">
        <v>9731931</v>
      </c>
      <c r="C27" s="628">
        <v>42756.2</v>
      </c>
      <c r="D27" s="629">
        <v>1.1000000000000001</v>
      </c>
      <c r="E27" s="629">
        <v>43.2</v>
      </c>
      <c r="F27" s="629">
        <v>16</v>
      </c>
    </row>
    <row r="28" spans="1:6" ht="16.5" customHeight="1" x14ac:dyDescent="0.3">
      <c r="A28" s="627">
        <v>5</v>
      </c>
      <c r="B28" s="628">
        <v>9666731</v>
      </c>
      <c r="C28" s="628">
        <v>42861.1</v>
      </c>
      <c r="D28" s="629">
        <v>1.1000000000000001</v>
      </c>
      <c r="E28" s="629">
        <v>43.3</v>
      </c>
      <c r="F28" s="629">
        <v>16</v>
      </c>
    </row>
    <row r="29" spans="1:6" ht="16.5" customHeight="1" x14ac:dyDescent="0.3">
      <c r="A29" s="627">
        <v>6</v>
      </c>
      <c r="B29" s="631">
        <v>9784286</v>
      </c>
      <c r="C29" s="631">
        <v>42939.6</v>
      </c>
      <c r="D29" s="632">
        <v>1.1000000000000001</v>
      </c>
      <c r="E29" s="632">
        <v>43.1</v>
      </c>
      <c r="F29" s="632">
        <v>16</v>
      </c>
    </row>
    <row r="30" spans="1:6" ht="16.5" customHeight="1" x14ac:dyDescent="0.3">
      <c r="A30" s="633" t="s">
        <v>18</v>
      </c>
      <c r="B30" s="634">
        <f>AVERAGE(B24:B29)</f>
        <v>9728854</v>
      </c>
      <c r="C30" s="635">
        <f>AVERAGE(C24:C29)</f>
        <v>43046.65</v>
      </c>
      <c r="D30" s="636">
        <f>AVERAGE(D24:D29)</f>
        <v>1.0999999999999999</v>
      </c>
      <c r="E30" s="636">
        <f>AVERAGE(E24:E29)</f>
        <v>43.233333333333341</v>
      </c>
      <c r="F30" s="636">
        <f>AVERAGE(F24:F29)</f>
        <v>16</v>
      </c>
    </row>
    <row r="31" spans="1:6" ht="16.5" customHeight="1" x14ac:dyDescent="0.3">
      <c r="A31" s="637" t="s">
        <v>19</v>
      </c>
      <c r="B31" s="638">
        <f>(STDEV(B24:B29)/B30)</f>
        <v>4.0462184811820741E-3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135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140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137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22</v>
      </c>
    </row>
    <row r="39" spans="1:6" ht="16.5" customHeight="1" x14ac:dyDescent="0.3">
      <c r="A39" s="622" t="s">
        <v>4</v>
      </c>
      <c r="B39" s="623" t="s">
        <v>142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99.54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15.15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f>15.15/50</f>
        <v>0.30299999999999999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138</v>
      </c>
      <c r="F44" s="625" t="s">
        <v>17</v>
      </c>
    </row>
    <row r="45" spans="1:6" ht="16.5" customHeight="1" x14ac:dyDescent="0.3">
      <c r="A45" s="627">
        <v>1</v>
      </c>
      <c r="B45" s="628">
        <v>3701715</v>
      </c>
      <c r="C45" s="628">
        <v>10587</v>
      </c>
      <c r="D45" s="629">
        <v>1.39</v>
      </c>
      <c r="E45" s="629">
        <v>17.48</v>
      </c>
      <c r="F45" s="630">
        <v>7.96</v>
      </c>
    </row>
    <row r="46" spans="1:6" ht="16.5" customHeight="1" x14ac:dyDescent="0.3">
      <c r="A46" s="627">
        <v>2</v>
      </c>
      <c r="B46" s="628">
        <v>3696160</v>
      </c>
      <c r="C46" s="628">
        <v>10535</v>
      </c>
      <c r="D46" s="629">
        <v>1.38</v>
      </c>
      <c r="E46" s="629">
        <v>17.260000000000002</v>
      </c>
      <c r="F46" s="629">
        <v>7.97</v>
      </c>
    </row>
    <row r="47" spans="1:6" ht="16.5" customHeight="1" x14ac:dyDescent="0.3">
      <c r="A47" s="627">
        <v>3</v>
      </c>
      <c r="B47" s="628">
        <v>3707017</v>
      </c>
      <c r="C47" s="628">
        <v>10593</v>
      </c>
      <c r="D47" s="629">
        <v>1.39</v>
      </c>
      <c r="E47" s="629">
        <v>17.329999999999998</v>
      </c>
      <c r="F47" s="629">
        <v>7.97</v>
      </c>
    </row>
    <row r="48" spans="1:6" ht="16.5" customHeight="1" x14ac:dyDescent="0.3">
      <c r="A48" s="627">
        <v>4</v>
      </c>
      <c r="B48" s="628">
        <v>3689986</v>
      </c>
      <c r="C48" s="628">
        <v>10565</v>
      </c>
      <c r="D48" s="629">
        <v>1.38</v>
      </c>
      <c r="E48" s="629">
        <v>17.29</v>
      </c>
      <c r="F48" s="629">
        <v>7.97</v>
      </c>
    </row>
    <row r="49" spans="1:8" ht="16.5" customHeight="1" x14ac:dyDescent="0.3">
      <c r="A49" s="627">
        <v>5</v>
      </c>
      <c r="B49" s="628">
        <v>3735683</v>
      </c>
      <c r="C49" s="628">
        <v>10422</v>
      </c>
      <c r="D49" s="629">
        <v>1.38</v>
      </c>
      <c r="E49" s="629">
        <v>17.079999999999998</v>
      </c>
      <c r="F49" s="629">
        <v>7.97</v>
      </c>
    </row>
    <row r="50" spans="1:8" ht="16.5" customHeight="1" x14ac:dyDescent="0.3">
      <c r="A50" s="627">
        <v>6</v>
      </c>
      <c r="B50" s="631">
        <v>3711073</v>
      </c>
      <c r="C50" s="631">
        <v>10326</v>
      </c>
      <c r="D50" s="632">
        <v>1.41</v>
      </c>
      <c r="E50" s="632">
        <v>17.12</v>
      </c>
      <c r="F50" s="632">
        <v>7.97</v>
      </c>
    </row>
    <row r="51" spans="1:8" ht="16.5" customHeight="1" x14ac:dyDescent="0.3">
      <c r="A51" s="633" t="s">
        <v>18</v>
      </c>
      <c r="B51" s="634">
        <f>AVERAGE(B45:B50)</f>
        <v>3706939</v>
      </c>
      <c r="C51" s="635">
        <f>AVERAGE(C45:C50)</f>
        <v>10504.666666666666</v>
      </c>
      <c r="D51" s="636">
        <f>AVERAGE(D45:D50)</f>
        <v>1.388333333333333</v>
      </c>
      <c r="E51" s="636">
        <f>AVERAGE(E45:E50)</f>
        <v>17.260000000000002</v>
      </c>
      <c r="F51" s="636">
        <f>AVERAGE(F45:F50)</f>
        <v>7.9683333333333328</v>
      </c>
    </row>
    <row r="52" spans="1:8" ht="16.5" customHeight="1" x14ac:dyDescent="0.3">
      <c r="A52" s="637" t="s">
        <v>19</v>
      </c>
      <c r="B52" s="638">
        <f>(STDEV(B45:B50)/B51)</f>
        <v>4.3064307993352768E-3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135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136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137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709"/>
      <c r="G58" s="651"/>
      <c r="H58" s="651"/>
    </row>
    <row r="59" spans="1:8" ht="15" customHeight="1" x14ac:dyDescent="0.3">
      <c r="B59" s="659" t="s">
        <v>23</v>
      </c>
      <c r="C59" s="659"/>
      <c r="F59" s="652" t="s">
        <v>24</v>
      </c>
      <c r="G59" s="653"/>
      <c r="H59" s="652" t="s">
        <v>25</v>
      </c>
    </row>
    <row r="60" spans="1:8" ht="15" customHeight="1" x14ac:dyDescent="0.3">
      <c r="A60" s="654" t="s">
        <v>26</v>
      </c>
      <c r="B60" s="655" t="s">
        <v>141</v>
      </c>
      <c r="C60" s="655"/>
      <c r="F60" s="710">
        <v>43006</v>
      </c>
      <c r="H60" s="655"/>
    </row>
    <row r="61" spans="1:8" ht="15" customHeight="1" x14ac:dyDescent="0.3">
      <c r="A61" s="654" t="s">
        <v>27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1" workbookViewId="0">
      <selection activeCell="B29" sqref="B29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1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134</v>
      </c>
      <c r="D17" s="620"/>
      <c r="E17" s="621"/>
    </row>
    <row r="18" spans="1:5" ht="16.5" customHeight="1" x14ac:dyDescent="0.3">
      <c r="A18" s="622" t="s">
        <v>4</v>
      </c>
      <c r="B18" s="619" t="s">
        <v>143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12.22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B20/100</f>
        <v>0.1222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20748081</v>
      </c>
      <c r="C24" s="628">
        <v>4450.3999999999996</v>
      </c>
      <c r="D24" s="629">
        <v>1</v>
      </c>
      <c r="E24" s="630">
        <v>4.0999999999999996</v>
      </c>
    </row>
    <row r="25" spans="1:5" ht="16.5" customHeight="1" x14ac:dyDescent="0.3">
      <c r="A25" s="627">
        <v>2</v>
      </c>
      <c r="B25" s="628">
        <v>20814651</v>
      </c>
      <c r="C25" s="628">
        <v>4467</v>
      </c>
      <c r="D25" s="629">
        <v>1</v>
      </c>
      <c r="E25" s="629">
        <v>4.0999999999999996</v>
      </c>
    </row>
    <row r="26" spans="1:5" ht="16.5" customHeight="1" x14ac:dyDescent="0.3">
      <c r="A26" s="627">
        <v>3</v>
      </c>
      <c r="B26" s="628">
        <v>20723372</v>
      </c>
      <c r="C26" s="628">
        <v>4498.1000000000004</v>
      </c>
      <c r="D26" s="629">
        <v>1</v>
      </c>
      <c r="E26" s="629">
        <v>4.0999999999999996</v>
      </c>
    </row>
    <row r="27" spans="1:5" ht="16.5" customHeight="1" x14ac:dyDescent="0.3">
      <c r="A27" s="627">
        <v>4</v>
      </c>
      <c r="B27" s="628">
        <v>20759087</v>
      </c>
      <c r="C27" s="628">
        <v>4506.5</v>
      </c>
      <c r="D27" s="629">
        <v>1</v>
      </c>
      <c r="E27" s="629">
        <v>4.0999999999999996</v>
      </c>
    </row>
    <row r="28" spans="1:5" ht="16.5" customHeight="1" x14ac:dyDescent="0.3">
      <c r="A28" s="627">
        <v>5</v>
      </c>
      <c r="B28" s="628">
        <v>20635393</v>
      </c>
      <c r="C28" s="628">
        <v>4522.3</v>
      </c>
      <c r="D28" s="629">
        <v>1</v>
      </c>
      <c r="E28" s="629">
        <v>4.0999999999999996</v>
      </c>
    </row>
    <row r="29" spans="1:5" ht="16.5" customHeight="1" x14ac:dyDescent="0.3">
      <c r="A29" s="627">
        <v>6</v>
      </c>
      <c r="B29" s="631">
        <v>20850103</v>
      </c>
      <c r="C29" s="631">
        <v>4476.1000000000004</v>
      </c>
      <c r="D29" s="632">
        <v>1</v>
      </c>
      <c r="E29" s="632">
        <v>4.0999999999999996</v>
      </c>
    </row>
    <row r="30" spans="1:5" ht="16.5" customHeight="1" x14ac:dyDescent="0.3">
      <c r="A30" s="633" t="s">
        <v>18</v>
      </c>
      <c r="B30" s="634">
        <f>AVERAGE(B24:B29)</f>
        <v>20755114.5</v>
      </c>
      <c r="C30" s="635">
        <f>AVERAGE(C24:C29)</f>
        <v>4486.7333333333336</v>
      </c>
      <c r="D30" s="636">
        <f>AVERAGE(D24:D29)</f>
        <v>1</v>
      </c>
      <c r="E30" s="636">
        <f>AVERAGE(E24:E29)</f>
        <v>4.1000000000000005</v>
      </c>
    </row>
    <row r="31" spans="1:5" ht="16.5" customHeight="1" x14ac:dyDescent="0.3">
      <c r="A31" s="637" t="s">
        <v>19</v>
      </c>
      <c r="B31" s="638">
        <f>(STDEV(B24:B29)/B30)</f>
        <v>3.6038204847486589E-3</v>
      </c>
      <c r="C31" s="639"/>
      <c r="D31" s="639"/>
      <c r="E31" s="640"/>
    </row>
    <row r="32" spans="1:5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6" t="s">
        <v>135</v>
      </c>
      <c r="C34" s="647"/>
      <c r="D34" s="647"/>
      <c r="E34" s="647"/>
    </row>
    <row r="35" spans="1:5" ht="16.5" customHeight="1" x14ac:dyDescent="0.3">
      <c r="A35" s="622"/>
      <c r="B35" s="646" t="s">
        <v>136</v>
      </c>
      <c r="C35" s="647"/>
      <c r="D35" s="647"/>
      <c r="E35" s="647"/>
    </row>
    <row r="36" spans="1:5" ht="16.5" customHeight="1" x14ac:dyDescent="0.3">
      <c r="A36" s="622"/>
      <c r="B36" s="646" t="s">
        <v>137</v>
      </c>
      <c r="C36" s="647"/>
      <c r="D36" s="647"/>
      <c r="E36" s="647"/>
    </row>
    <row r="37" spans="1:5" ht="15.75" customHeight="1" x14ac:dyDescent="0.25">
      <c r="A37" s="621"/>
      <c r="B37" s="621"/>
      <c r="C37" s="621"/>
      <c r="D37" s="621"/>
      <c r="E37" s="621"/>
    </row>
    <row r="38" spans="1:5" ht="16.5" customHeight="1" x14ac:dyDescent="0.3">
      <c r="A38" s="617" t="s">
        <v>1</v>
      </c>
      <c r="B38" s="618" t="s">
        <v>22</v>
      </c>
    </row>
    <row r="39" spans="1:5" ht="16.5" customHeight="1" x14ac:dyDescent="0.3">
      <c r="A39" s="622" t="s">
        <v>4</v>
      </c>
      <c r="B39" s="619" t="s">
        <v>143</v>
      </c>
      <c r="C39" s="621"/>
      <c r="D39" s="621"/>
      <c r="E39" s="621"/>
    </row>
    <row r="40" spans="1:5" ht="16.5" customHeight="1" x14ac:dyDescent="0.3">
      <c r="A40" s="622" t="s">
        <v>6</v>
      </c>
      <c r="B40" s="623">
        <v>99.39</v>
      </c>
      <c r="C40" s="621"/>
      <c r="D40" s="621"/>
      <c r="E40" s="621"/>
    </row>
    <row r="41" spans="1:5" ht="16.5" customHeight="1" x14ac:dyDescent="0.3">
      <c r="A41" s="619" t="s">
        <v>8</v>
      </c>
      <c r="B41" s="623">
        <v>14.95</v>
      </c>
      <c r="C41" s="621"/>
      <c r="D41" s="621"/>
      <c r="E41" s="621"/>
    </row>
    <row r="42" spans="1:5" ht="16.5" customHeight="1" x14ac:dyDescent="0.3">
      <c r="A42" s="619" t="s">
        <v>10</v>
      </c>
      <c r="B42" s="624">
        <f>14.95/50</f>
        <v>0.29899999999999999</v>
      </c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>
        <v>3750995</v>
      </c>
      <c r="C45" s="628">
        <v>557</v>
      </c>
      <c r="D45" s="629">
        <v>1.5</v>
      </c>
      <c r="E45" s="630">
        <v>2.12</v>
      </c>
    </row>
    <row r="46" spans="1:5" ht="16.5" customHeight="1" x14ac:dyDescent="0.3">
      <c r="A46" s="627">
        <v>2</v>
      </c>
      <c r="B46" s="628">
        <v>3743921</v>
      </c>
      <c r="C46" s="628">
        <v>533</v>
      </c>
      <c r="D46" s="629">
        <v>1.48</v>
      </c>
      <c r="E46" s="629">
        <v>2.12</v>
      </c>
    </row>
    <row r="47" spans="1:5" ht="16.5" customHeight="1" x14ac:dyDescent="0.3">
      <c r="A47" s="627">
        <v>3</v>
      </c>
      <c r="B47" s="628">
        <v>3750281</v>
      </c>
      <c r="C47" s="628">
        <v>538</v>
      </c>
      <c r="D47" s="629">
        <v>1.47</v>
      </c>
      <c r="E47" s="629">
        <v>2.12</v>
      </c>
    </row>
    <row r="48" spans="1:5" ht="16.5" customHeight="1" x14ac:dyDescent="0.3">
      <c r="A48" s="627">
        <v>4</v>
      </c>
      <c r="B48" s="628">
        <v>3710554</v>
      </c>
      <c r="C48" s="628">
        <v>535</v>
      </c>
      <c r="D48" s="629">
        <v>1.45</v>
      </c>
      <c r="E48" s="629">
        <v>2.12</v>
      </c>
    </row>
    <row r="49" spans="1:7" ht="16.5" customHeight="1" x14ac:dyDescent="0.3">
      <c r="A49" s="627">
        <v>5</v>
      </c>
      <c r="B49" s="628">
        <v>3752987</v>
      </c>
      <c r="C49" s="628">
        <v>523</v>
      </c>
      <c r="D49" s="629">
        <v>1.43</v>
      </c>
      <c r="E49" s="629">
        <v>2.13</v>
      </c>
    </row>
    <row r="50" spans="1:7" ht="16.5" customHeight="1" x14ac:dyDescent="0.3">
      <c r="A50" s="627">
        <v>6</v>
      </c>
      <c r="B50" s="631">
        <v>3721874</v>
      </c>
      <c r="C50" s="631">
        <v>531</v>
      </c>
      <c r="D50" s="632">
        <v>1.48</v>
      </c>
      <c r="E50" s="632">
        <v>2.13</v>
      </c>
    </row>
    <row r="51" spans="1:7" ht="16.5" customHeight="1" x14ac:dyDescent="0.3">
      <c r="A51" s="633" t="s">
        <v>18</v>
      </c>
      <c r="B51" s="634">
        <f>AVERAGE(B45:B50)</f>
        <v>3738435.3333333335</v>
      </c>
      <c r="C51" s="635">
        <f>AVERAGE(C45:C50)</f>
        <v>536.16666666666663</v>
      </c>
      <c r="D51" s="636">
        <f>AVERAGE(D45:D50)</f>
        <v>1.4683333333333335</v>
      </c>
      <c r="E51" s="636">
        <f>AVERAGE(E45:E50)</f>
        <v>2.1233333333333331</v>
      </c>
    </row>
    <row r="52" spans="1:7" ht="16.5" customHeight="1" x14ac:dyDescent="0.3">
      <c r="A52" s="637" t="s">
        <v>19</v>
      </c>
      <c r="B52" s="638">
        <f>(STDEV(B45:B50)/B51)</f>
        <v>4.7723904069230756E-3</v>
      </c>
      <c r="C52" s="639"/>
      <c r="D52" s="639"/>
      <c r="E52" s="640"/>
    </row>
    <row r="53" spans="1:7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5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6" t="s">
        <v>135</v>
      </c>
      <c r="C55" s="647"/>
      <c r="D55" s="647"/>
      <c r="E55" s="647"/>
    </row>
    <row r="56" spans="1:7" ht="16.5" customHeight="1" x14ac:dyDescent="0.3">
      <c r="A56" s="622"/>
      <c r="B56" s="646" t="s">
        <v>136</v>
      </c>
      <c r="C56" s="647"/>
      <c r="D56" s="647"/>
      <c r="E56" s="647"/>
    </row>
    <row r="57" spans="1:7" ht="16.5" customHeight="1" x14ac:dyDescent="0.3">
      <c r="A57" s="622"/>
      <c r="B57" s="646" t="s">
        <v>137</v>
      </c>
      <c r="C57" s="647"/>
      <c r="D57" s="647"/>
      <c r="E57" s="647"/>
    </row>
    <row r="58" spans="1:7" ht="14.25" customHeight="1" thickBot="1" x14ac:dyDescent="0.3">
      <c r="A58" s="648"/>
      <c r="B58" s="649"/>
      <c r="D58" s="650"/>
      <c r="F58" s="651"/>
      <c r="G58" s="651"/>
    </row>
    <row r="59" spans="1:7" ht="15" customHeight="1" x14ac:dyDescent="0.3">
      <c r="B59" s="659" t="s">
        <v>23</v>
      </c>
      <c r="C59" s="659"/>
      <c r="E59" s="652" t="s">
        <v>24</v>
      </c>
      <c r="F59" s="653"/>
      <c r="G59" s="652" t="s">
        <v>25</v>
      </c>
    </row>
    <row r="60" spans="1:7" ht="15" customHeight="1" x14ac:dyDescent="0.3">
      <c r="A60" s="654" t="s">
        <v>26</v>
      </c>
      <c r="B60" s="655" t="s">
        <v>141</v>
      </c>
      <c r="C60" s="655"/>
      <c r="E60" s="710">
        <v>43006</v>
      </c>
      <c r="G60" s="655"/>
    </row>
    <row r="61" spans="1:7" ht="15" customHeight="1" x14ac:dyDescent="0.3">
      <c r="A61" s="654" t="s">
        <v>27</v>
      </c>
      <c r="B61" s="656"/>
      <c r="C61" s="656"/>
      <c r="E61" s="656"/>
      <c r="G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5" sqref="D2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3" t="s">
        <v>28</v>
      </c>
      <c r="B11" s="664"/>
      <c r="C11" s="664"/>
      <c r="D11" s="664"/>
      <c r="E11" s="664"/>
      <c r="F11" s="665"/>
      <c r="G11" s="43"/>
    </row>
    <row r="12" spans="1:7" ht="16.5" customHeight="1" x14ac:dyDescent="0.3">
      <c r="A12" s="662" t="s">
        <v>29</v>
      </c>
      <c r="B12" s="662"/>
      <c r="C12" s="662"/>
      <c r="D12" s="662"/>
      <c r="E12" s="662"/>
      <c r="F12" s="662"/>
      <c r="G12" s="42"/>
    </row>
    <row r="14" spans="1:7" ht="16.5" customHeight="1" x14ac:dyDescent="0.3">
      <c r="A14" s="667" t="s">
        <v>30</v>
      </c>
      <c r="B14" s="667"/>
      <c r="C14" s="12" t="s">
        <v>5</v>
      </c>
    </row>
    <row r="15" spans="1:7" ht="16.5" customHeight="1" x14ac:dyDescent="0.3">
      <c r="A15" s="667" t="s">
        <v>31</v>
      </c>
      <c r="B15" s="667"/>
      <c r="C15" s="12" t="s">
        <v>7</v>
      </c>
    </row>
    <row r="16" spans="1:7" ht="16.5" customHeight="1" x14ac:dyDescent="0.3">
      <c r="A16" s="667" t="s">
        <v>32</v>
      </c>
      <c r="B16" s="667"/>
      <c r="C16" s="12" t="s">
        <v>9</v>
      </c>
    </row>
    <row r="17" spans="1:5" ht="16.5" customHeight="1" x14ac:dyDescent="0.3">
      <c r="A17" s="667" t="s">
        <v>33</v>
      </c>
      <c r="B17" s="667"/>
      <c r="C17" s="12" t="s">
        <v>11</v>
      </c>
    </row>
    <row r="18" spans="1:5" ht="16.5" customHeight="1" x14ac:dyDescent="0.3">
      <c r="A18" s="667" t="s">
        <v>34</v>
      </c>
      <c r="B18" s="667"/>
      <c r="C18" s="49" t="s">
        <v>12</v>
      </c>
    </row>
    <row r="19" spans="1:5" ht="16.5" customHeight="1" x14ac:dyDescent="0.3">
      <c r="A19" s="667" t="s">
        <v>35</v>
      </c>
      <c r="B19" s="66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2" t="s">
        <v>1</v>
      </c>
      <c r="B21" s="662"/>
      <c r="C21" s="11" t="s">
        <v>36</v>
      </c>
      <c r="D21" s="18"/>
    </row>
    <row r="22" spans="1:5" ht="15.75" customHeight="1" x14ac:dyDescent="0.3">
      <c r="A22" s="666"/>
      <c r="B22" s="666"/>
      <c r="C22" s="9"/>
      <c r="D22" s="666"/>
      <c r="E22" s="666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1842.84</v>
      </c>
      <c r="D24" s="39">
        <f t="shared" ref="D24:D43" si="0">(C24-$C$46)/$C$46</f>
        <v>-7.9433716223722126E-4</v>
      </c>
      <c r="E24" s="5"/>
    </row>
    <row r="25" spans="1:5" ht="15.75" customHeight="1" x14ac:dyDescent="0.3">
      <c r="C25" s="47">
        <v>1845.39</v>
      </c>
      <c r="D25" s="40">
        <f t="shared" si="0"/>
        <v>5.8829748875607012E-4</v>
      </c>
      <c r="E25" s="5"/>
    </row>
    <row r="26" spans="1:5" ht="15.75" customHeight="1" x14ac:dyDescent="0.3">
      <c r="C26" s="47">
        <v>1856.36</v>
      </c>
      <c r="D26" s="40">
        <f t="shared" si="0"/>
        <v>6.536337536361971E-3</v>
      </c>
      <c r="E26" s="5"/>
    </row>
    <row r="27" spans="1:5" ht="15.75" customHeight="1" x14ac:dyDescent="0.3">
      <c r="C27" s="47">
        <v>1820.61</v>
      </c>
      <c r="D27" s="40">
        <f t="shared" si="0"/>
        <v>-1.2847658060895535E-2</v>
      </c>
      <c r="E27" s="5"/>
    </row>
    <row r="28" spans="1:5" ht="15.75" customHeight="1" x14ac:dyDescent="0.3">
      <c r="C28" s="47">
        <v>1858.87</v>
      </c>
      <c r="D28" s="40">
        <f t="shared" si="0"/>
        <v>7.8972838006729131E-3</v>
      </c>
      <c r="E28" s="5"/>
    </row>
    <row r="29" spans="1:5" ht="15.75" customHeight="1" x14ac:dyDescent="0.3">
      <c r="C29" s="47">
        <v>1819.67</v>
      </c>
      <c r="D29" s="40">
        <f t="shared" si="0"/>
        <v>-1.3357335147928225E-2</v>
      </c>
      <c r="E29" s="5"/>
    </row>
    <row r="30" spans="1:5" ht="15.75" customHeight="1" x14ac:dyDescent="0.3">
      <c r="C30" s="47">
        <v>1863.71</v>
      </c>
      <c r="D30" s="40">
        <f t="shared" si="0"/>
        <v>1.0521578589224777E-2</v>
      </c>
      <c r="E30" s="5"/>
    </row>
    <row r="31" spans="1:5" ht="15.75" customHeight="1" x14ac:dyDescent="0.3">
      <c r="C31" s="47">
        <v>1850.48</v>
      </c>
      <c r="D31" s="40">
        <f t="shared" si="0"/>
        <v>3.3481446940718494E-3</v>
      </c>
      <c r="E31" s="5"/>
    </row>
    <row r="32" spans="1:5" ht="15.75" customHeight="1" x14ac:dyDescent="0.3">
      <c r="C32" s="47">
        <v>1816.9</v>
      </c>
      <c r="D32" s="40">
        <f t="shared" si="0"/>
        <v>-1.4859255925673762E-2</v>
      </c>
      <c r="E32" s="5"/>
    </row>
    <row r="33" spans="1:7" ht="15.75" customHeight="1" x14ac:dyDescent="0.3">
      <c r="C33" s="47">
        <v>1840.17</v>
      </c>
      <c r="D33" s="40">
        <f t="shared" si="0"/>
        <v>-2.2420369732770685E-3</v>
      </c>
      <c r="E33" s="5"/>
    </row>
    <row r="34" spans="1:7" ht="15.75" customHeight="1" x14ac:dyDescent="0.3">
      <c r="C34" s="47">
        <v>1829.91</v>
      </c>
      <c r="D34" s="40">
        <f t="shared" si="0"/>
        <v>-7.8051081572732038E-3</v>
      </c>
      <c r="E34" s="5"/>
    </row>
    <row r="35" spans="1:7" ht="15.75" customHeight="1" x14ac:dyDescent="0.3">
      <c r="C35" s="47">
        <v>1850.13</v>
      </c>
      <c r="D35" s="40">
        <f t="shared" si="0"/>
        <v>3.158371310602245E-3</v>
      </c>
      <c r="E35" s="5"/>
    </row>
    <row r="36" spans="1:7" ht="15.75" customHeight="1" x14ac:dyDescent="0.3">
      <c r="C36" s="47">
        <v>1854.08</v>
      </c>
      <c r="D36" s="40">
        <f t="shared" si="0"/>
        <v>5.3000994954739544E-3</v>
      </c>
      <c r="E36" s="5"/>
    </row>
    <row r="37" spans="1:7" ht="15.75" customHeight="1" x14ac:dyDescent="0.3">
      <c r="C37" s="47">
        <v>1844.47</v>
      </c>
      <c r="D37" s="40">
        <f t="shared" si="0"/>
        <v>8.9464595064368965E-5</v>
      </c>
      <c r="E37" s="5"/>
    </row>
    <row r="38" spans="1:7" ht="15.75" customHeight="1" x14ac:dyDescent="0.3">
      <c r="C38" s="47">
        <v>1841.03</v>
      </c>
      <c r="D38" s="40">
        <f t="shared" si="0"/>
        <v>-1.7757366596088304E-3</v>
      </c>
      <c r="E38" s="5"/>
    </row>
    <row r="39" spans="1:7" ht="15.75" customHeight="1" x14ac:dyDescent="0.3">
      <c r="C39" s="47">
        <v>1840.13</v>
      </c>
      <c r="D39" s="40">
        <f t="shared" si="0"/>
        <v>-2.2637253599592949E-3</v>
      </c>
      <c r="E39" s="5"/>
    </row>
    <row r="40" spans="1:7" ht="15.75" customHeight="1" x14ac:dyDescent="0.3">
      <c r="C40" s="47">
        <v>1878.84</v>
      </c>
      <c r="D40" s="40">
        <f t="shared" si="0"/>
        <v>1.8725210851784323E-2</v>
      </c>
      <c r="E40" s="5"/>
    </row>
    <row r="41" spans="1:7" ht="15.75" customHeight="1" x14ac:dyDescent="0.3">
      <c r="C41" s="47">
        <v>1852.1</v>
      </c>
      <c r="D41" s="40">
        <f t="shared" si="0"/>
        <v>4.22652435470276E-3</v>
      </c>
      <c r="E41" s="5"/>
    </row>
    <row r="42" spans="1:7" ht="15.75" customHeight="1" x14ac:dyDescent="0.3">
      <c r="C42" s="47">
        <v>1848.71</v>
      </c>
      <c r="D42" s="40">
        <f t="shared" si="0"/>
        <v>2.388433583382467E-3</v>
      </c>
      <c r="E42" s="5"/>
    </row>
    <row r="43" spans="1:7" ht="16.5" customHeight="1" x14ac:dyDescent="0.3">
      <c r="C43" s="48">
        <v>1831.7</v>
      </c>
      <c r="D43" s="41">
        <f t="shared" si="0"/>
        <v>-6.8345528532427081E-3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36886.1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1844.3049999999998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660">
        <f>C46</f>
        <v>1844.3049999999998</v>
      </c>
      <c r="C49" s="45">
        <f>-IF(C46&lt;=80,10%,IF(C46&lt;250,7.5%,5%))</f>
        <v>-0.05</v>
      </c>
      <c r="D49" s="33">
        <f>IF(C46&lt;=80,C46*0.9,IF(C46&lt;250,C46*0.925,C46*0.95))</f>
        <v>1752.0897499999999</v>
      </c>
    </row>
    <row r="50" spans="1:6" ht="17.25" customHeight="1" x14ac:dyDescent="0.3">
      <c r="B50" s="661"/>
      <c r="C50" s="46">
        <f>IF(C46&lt;=80, 10%, IF(C46&lt;250, 7.5%, 5%))</f>
        <v>0.05</v>
      </c>
      <c r="D50" s="33">
        <f>IF(C46&lt;=80, C46*1.1, IF(C46&lt;250, C46*1.075, C46*1.05))</f>
        <v>1936.5202499999998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4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2" sqref="B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42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43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50"/>
    </row>
    <row r="16" spans="1:9" ht="19.5" customHeight="1" x14ac:dyDescent="0.3">
      <c r="A16" s="701" t="s">
        <v>28</v>
      </c>
      <c r="B16" s="702"/>
      <c r="C16" s="702"/>
      <c r="D16" s="702"/>
      <c r="E16" s="702"/>
      <c r="F16" s="702"/>
      <c r="G16" s="702"/>
      <c r="H16" s="703"/>
    </row>
    <row r="17" spans="1:14" ht="20.25" customHeight="1" x14ac:dyDescent="0.25">
      <c r="A17" s="704" t="s">
        <v>44</v>
      </c>
      <c r="B17" s="704"/>
      <c r="C17" s="704"/>
      <c r="D17" s="704"/>
      <c r="E17" s="704"/>
      <c r="F17" s="704"/>
      <c r="G17" s="704"/>
      <c r="H17" s="704"/>
    </row>
    <row r="18" spans="1:14" ht="26.25" customHeight="1" x14ac:dyDescent="0.4">
      <c r="A18" s="52" t="s">
        <v>30</v>
      </c>
      <c r="B18" s="705" t="s">
        <v>5</v>
      </c>
      <c r="C18" s="705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700" t="s">
        <v>128</v>
      </c>
      <c r="C20" s="700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700" t="s">
        <v>11</v>
      </c>
      <c r="C21" s="700"/>
      <c r="D21" s="700"/>
      <c r="E21" s="700"/>
      <c r="F21" s="700"/>
      <c r="G21" s="700"/>
      <c r="H21" s="700"/>
      <c r="I21" s="56"/>
    </row>
    <row r="22" spans="1:14" ht="26.25" customHeight="1" x14ac:dyDescent="0.4">
      <c r="A22" s="52" t="s">
        <v>34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00" t="s">
        <v>128</v>
      </c>
      <c r="C26" s="700"/>
    </row>
    <row r="27" spans="1:14" ht="26.25" customHeight="1" x14ac:dyDescent="0.4">
      <c r="A27" s="61" t="s">
        <v>45</v>
      </c>
      <c r="B27" s="706" t="s">
        <v>129</v>
      </c>
      <c r="C27" s="706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46</v>
      </c>
      <c r="B29" s="63">
        <v>0</v>
      </c>
      <c r="C29" s="676" t="s">
        <v>47</v>
      </c>
      <c r="D29" s="677"/>
      <c r="E29" s="677"/>
      <c r="F29" s="677"/>
      <c r="G29" s="678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679" t="s">
        <v>50</v>
      </c>
      <c r="D31" s="680"/>
      <c r="E31" s="680"/>
      <c r="F31" s="680"/>
      <c r="G31" s="680"/>
      <c r="H31" s="681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679" t="s">
        <v>52</v>
      </c>
      <c r="D32" s="680"/>
      <c r="E32" s="680"/>
      <c r="F32" s="680"/>
      <c r="G32" s="680"/>
      <c r="H32" s="68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100</v>
      </c>
      <c r="C36" s="51"/>
      <c r="D36" s="682" t="s">
        <v>56</v>
      </c>
      <c r="E36" s="707"/>
      <c r="F36" s="682" t="s">
        <v>57</v>
      </c>
      <c r="G36" s="68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1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</v>
      </c>
      <c r="C38" s="83">
        <v>1</v>
      </c>
      <c r="D38" s="84">
        <v>9650009</v>
      </c>
      <c r="E38" s="85">
        <f>IF(ISBLANK(D38),"-",$D$48/$D$45*D38)</f>
        <v>10295154.880592316</v>
      </c>
      <c r="F38" s="84">
        <v>11214198</v>
      </c>
      <c r="G38" s="86">
        <f>IF(ISBLANK(F38),"-",$D$48/$F$45*F38)</f>
        <v>10746602.575344197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9756635</v>
      </c>
      <c r="E39" s="90">
        <f>IF(ISBLANK(D39),"-",$D$48/$D$45*D39)</f>
        <v>10408909.301370373</v>
      </c>
      <c r="F39" s="89">
        <v>11134525</v>
      </c>
      <c r="G39" s="91">
        <f>IF(ISBLANK(F39),"-",$D$48/$F$45*F39)</f>
        <v>10670251.679186897</v>
      </c>
      <c r="I39" s="684">
        <f>ABS((F43/D43*D42)-F42)/D42</f>
        <v>3.7764174998303437E-2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9766366</v>
      </c>
      <c r="E40" s="90">
        <f>IF(ISBLANK(D40),"-",$D$48/$D$45*D40)</f>
        <v>10419290.861858353</v>
      </c>
      <c r="F40" s="89">
        <v>11230535</v>
      </c>
      <c r="G40" s="91">
        <f>IF(ISBLANK(F40),"-",$D$48/$F$45*F40)</f>
        <v>10762258.375810124</v>
      </c>
      <c r="I40" s="684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9724336.666666666</v>
      </c>
      <c r="E42" s="100">
        <f>AVERAGE(E38:E41)</f>
        <v>10374451.681273682</v>
      </c>
      <c r="F42" s="99">
        <f>AVERAGE(F38:F41)</f>
        <v>11193086</v>
      </c>
      <c r="G42" s="101">
        <f>AVERAGE(G38:G41)</f>
        <v>10726370.876780406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11.3</v>
      </c>
      <c r="E43" s="92"/>
      <c r="F43" s="104">
        <v>12.58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11.3</v>
      </c>
      <c r="E44" s="107"/>
      <c r="F44" s="106">
        <f>F43*$B$34</f>
        <v>12.58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11.248020000000002</v>
      </c>
      <c r="E45" s="110"/>
      <c r="F45" s="109">
        <f>F44*$B$30/100</f>
        <v>12.522132000000001</v>
      </c>
      <c r="H45" s="102"/>
    </row>
    <row r="46" spans="1:14" ht="19.5" customHeight="1" x14ac:dyDescent="0.3">
      <c r="A46" s="670" t="s">
        <v>75</v>
      </c>
      <c r="B46" s="671"/>
      <c r="C46" s="105" t="s">
        <v>76</v>
      </c>
      <c r="D46" s="111">
        <f>D45/$B$45</f>
        <v>0.11248020000000002</v>
      </c>
      <c r="E46" s="112"/>
      <c r="F46" s="113">
        <f>F45/$B$45</f>
        <v>0.12522132</v>
      </c>
      <c r="H46" s="102"/>
    </row>
    <row r="47" spans="1:14" ht="27" customHeight="1" x14ac:dyDescent="0.4">
      <c r="A47" s="672"/>
      <c r="B47" s="673"/>
      <c r="C47" s="114" t="s">
        <v>77</v>
      </c>
      <c r="D47" s="115">
        <v>0.12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12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10550411.279027043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1.8961494354195696E-2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film coatred tablets contains: Efavirenz 600 mg, Emtricitabine 200mg, and Tenofovir Disoproxil Fumarate 300 mg Tablets equivant to Tenifovir Disoproxil 245 mg</v>
      </c>
    </row>
    <row r="56" spans="1:12" ht="26.25" customHeight="1" x14ac:dyDescent="0.4">
      <c r="A56" s="129" t="s">
        <v>84</v>
      </c>
      <c r="B56" s="130">
        <v>300</v>
      </c>
      <c r="C56" s="51" t="str">
        <f>B20</f>
        <v xml:space="preserve"> Tenofovir Disoproxil Fumarate </v>
      </c>
      <c r="H56" s="131"/>
    </row>
    <row r="57" spans="1:12" ht="18.75" x14ac:dyDescent="0.3">
      <c r="A57" s="128" t="s">
        <v>85</v>
      </c>
      <c r="B57" s="199">
        <f>Uniformity!C46</f>
        <v>1844.3049999999998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4</v>
      </c>
      <c r="C60" s="687" t="s">
        <v>91</v>
      </c>
      <c r="D60" s="690">
        <v>1842.65</v>
      </c>
      <c r="E60" s="134">
        <v>1</v>
      </c>
      <c r="F60" s="135">
        <v>10584799</v>
      </c>
      <c r="G60" s="200">
        <f>IF(ISBLANK(F60),"-",(F60/$D$50*$D$47*$B$68)*($B$57/$D$60))</f>
        <v>301.24813889253863</v>
      </c>
      <c r="H60" s="218">
        <f t="shared" ref="H60:H71" si="0">IF(ISBLANK(F60),"-",(G60/$B$56)*100)</f>
        <v>100.41604629751288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688"/>
      <c r="D61" s="691"/>
      <c r="E61" s="136">
        <v>2</v>
      </c>
      <c r="F61" s="89">
        <v>10552896</v>
      </c>
      <c r="G61" s="201">
        <f>IF(ISBLANK(F61),"-",(F61/$D$50*$D$47*$B$68)*($B$57/$D$60))</f>
        <v>300.34016516766314</v>
      </c>
      <c r="H61" s="219">
        <f t="shared" si="0"/>
        <v>100.11338838922106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688"/>
      <c r="D62" s="691"/>
      <c r="E62" s="136">
        <v>3</v>
      </c>
      <c r="F62" s="137">
        <v>10607949</v>
      </c>
      <c r="G62" s="201">
        <f>IF(ISBLANK(F62),"-",(F62/$D$50*$D$47*$B$68)*($B$57/$D$60))</f>
        <v>301.90699830171235</v>
      </c>
      <c r="H62" s="219">
        <f t="shared" si="0"/>
        <v>100.63566610057077</v>
      </c>
      <c r="L62" s="64"/>
    </row>
    <row r="63" spans="1:12" ht="27" customHeight="1" x14ac:dyDescent="0.4">
      <c r="A63" s="76" t="s">
        <v>94</v>
      </c>
      <c r="B63" s="77">
        <v>1</v>
      </c>
      <c r="C63" s="697"/>
      <c r="D63" s="692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687" t="s">
        <v>96</v>
      </c>
      <c r="D64" s="690">
        <v>1846.26</v>
      </c>
      <c r="E64" s="134">
        <v>1</v>
      </c>
      <c r="F64" s="135">
        <v>10419752</v>
      </c>
      <c r="G64" s="200">
        <f>IF(ISBLANK(F64),"-",(F64/$D$50*$D$47*$B$68)*($B$57/$D$64))</f>
        <v>295.97097997220999</v>
      </c>
      <c r="H64" s="218">
        <f t="shared" si="0"/>
        <v>98.656993324070001</v>
      </c>
    </row>
    <row r="65" spans="1:8" ht="26.25" customHeight="1" x14ac:dyDescent="0.4">
      <c r="A65" s="76" t="s">
        <v>97</v>
      </c>
      <c r="B65" s="77">
        <v>1</v>
      </c>
      <c r="C65" s="688"/>
      <c r="D65" s="691"/>
      <c r="E65" s="136">
        <v>2</v>
      </c>
      <c r="F65" s="89">
        <v>10605682</v>
      </c>
      <c r="G65" s="201">
        <f>IF(ISBLANK(F65),"-",(F65/$D$50*$D$47*$B$68)*($B$57/$D$64))</f>
        <v>301.25228458543228</v>
      </c>
      <c r="H65" s="219">
        <f t="shared" si="0"/>
        <v>100.4174281951441</v>
      </c>
    </row>
    <row r="66" spans="1:8" ht="26.25" customHeight="1" x14ac:dyDescent="0.4">
      <c r="A66" s="76" t="s">
        <v>98</v>
      </c>
      <c r="B66" s="77">
        <v>1</v>
      </c>
      <c r="C66" s="688"/>
      <c r="D66" s="691"/>
      <c r="E66" s="136">
        <v>3</v>
      </c>
      <c r="F66" s="89">
        <v>10523154</v>
      </c>
      <c r="G66" s="201">
        <f>IF(ISBLANK(F66),"-",(F66/$D$50*$D$47*$B$68)*($B$57/$D$64))</f>
        <v>298.90809318479756</v>
      </c>
      <c r="H66" s="219">
        <f t="shared" si="0"/>
        <v>99.636031061599184</v>
      </c>
    </row>
    <row r="67" spans="1:8" ht="27" customHeight="1" x14ac:dyDescent="0.4">
      <c r="A67" s="76" t="s">
        <v>99</v>
      </c>
      <c r="B67" s="77">
        <v>1</v>
      </c>
      <c r="C67" s="697"/>
      <c r="D67" s="692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2500</v>
      </c>
      <c r="C68" s="687" t="s">
        <v>101</v>
      </c>
      <c r="D68" s="690">
        <v>1843.48</v>
      </c>
      <c r="E68" s="134">
        <v>1</v>
      </c>
      <c r="F68" s="135">
        <v>10389092</v>
      </c>
      <c r="G68" s="200">
        <f>IF(ISBLANK(F68),"-",(F68/$D$50*$D$47*$B$68)*($B$57/$D$68))</f>
        <v>295.5451048615825</v>
      </c>
      <c r="H68" s="219">
        <f t="shared" si="0"/>
        <v>98.515034953860834</v>
      </c>
    </row>
    <row r="69" spans="1:8" ht="27" customHeight="1" x14ac:dyDescent="0.4">
      <c r="A69" s="124" t="s">
        <v>102</v>
      </c>
      <c r="B69" s="141">
        <f>(D47*B68)/B56*B57</f>
        <v>1844.3049999999998</v>
      </c>
      <c r="C69" s="688"/>
      <c r="D69" s="691"/>
      <c r="E69" s="136">
        <v>2</v>
      </c>
      <c r="F69" s="89">
        <v>10356676</v>
      </c>
      <c r="G69" s="201">
        <f>IF(ISBLANK(F69),"-",(F69/$D$50*$D$47*$B$68)*($B$57/$D$68))</f>
        <v>294.62294630150876</v>
      </c>
      <c r="H69" s="219">
        <f t="shared" si="0"/>
        <v>98.207648767169587</v>
      </c>
    </row>
    <row r="70" spans="1:8" ht="26.25" customHeight="1" x14ac:dyDescent="0.4">
      <c r="A70" s="693" t="s">
        <v>75</v>
      </c>
      <c r="B70" s="694"/>
      <c r="C70" s="688"/>
      <c r="D70" s="691"/>
      <c r="E70" s="136">
        <v>3</v>
      </c>
      <c r="F70" s="89">
        <v>10316897</v>
      </c>
      <c r="G70" s="201">
        <f>IF(ISBLANK(F70),"-",(F70/$D$50*$D$47*$B$68)*($B$57/$D$68))</f>
        <v>293.49132779949832</v>
      </c>
      <c r="H70" s="219">
        <f t="shared" si="0"/>
        <v>97.830442599832779</v>
      </c>
    </row>
    <row r="71" spans="1:8" ht="27" customHeight="1" x14ac:dyDescent="0.4">
      <c r="A71" s="695"/>
      <c r="B71" s="696"/>
      <c r="C71" s="689"/>
      <c r="D71" s="692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298.14289322966039</v>
      </c>
      <c r="H72" s="221">
        <f>AVERAGE(H60:H71)</f>
        <v>99.380964409886786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1.0893437292795351E-2</v>
      </c>
      <c r="H73" s="205">
        <f>STDEV(H60:H71)/H72</f>
        <v>1.0893437292795339E-2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103</v>
      </c>
      <c r="B76" s="149" t="s">
        <v>104</v>
      </c>
      <c r="C76" s="674" t="str">
        <f>B26</f>
        <v xml:space="preserve"> Tenofovir Disoproxil Fumarate </v>
      </c>
      <c r="D76" s="674"/>
      <c r="E76" s="150" t="s">
        <v>105</v>
      </c>
      <c r="F76" s="150"/>
      <c r="G76" s="237">
        <f>H72</f>
        <v>99.380964409886786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08" t="str">
        <f>B26</f>
        <v xml:space="preserve"> Tenofovir Disoproxil Fumarate </v>
      </c>
      <c r="C79" s="708"/>
    </row>
    <row r="80" spans="1:8" ht="26.25" customHeight="1" x14ac:dyDescent="0.4">
      <c r="A80" s="61" t="s">
        <v>45</v>
      </c>
      <c r="B80" s="708" t="str">
        <f>B27</f>
        <v>T11-10</v>
      </c>
      <c r="C80" s="708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46</v>
      </c>
      <c r="B82" s="63">
        <v>0</v>
      </c>
      <c r="C82" s="676" t="s">
        <v>47</v>
      </c>
      <c r="D82" s="677"/>
      <c r="E82" s="677"/>
      <c r="F82" s="677"/>
      <c r="G82" s="678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679" t="s">
        <v>108</v>
      </c>
      <c r="D84" s="680"/>
      <c r="E84" s="680"/>
      <c r="F84" s="680"/>
      <c r="G84" s="680"/>
      <c r="H84" s="681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679" t="s">
        <v>109</v>
      </c>
      <c r="D85" s="680"/>
      <c r="E85" s="680"/>
      <c r="F85" s="680"/>
      <c r="G85" s="680"/>
      <c r="H85" s="68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54" t="s">
        <v>56</v>
      </c>
      <c r="E89" s="155"/>
      <c r="F89" s="682" t="s">
        <v>57</v>
      </c>
      <c r="G89" s="683"/>
    </row>
    <row r="90" spans="1:12" ht="27" customHeight="1" x14ac:dyDescent="0.4">
      <c r="A90" s="76" t="s">
        <v>58</v>
      </c>
      <c r="B90" s="77">
        <v>1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64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684">
        <f>ABS((F96/D96*D95)-F95)/D95</f>
        <v>5.3356914765098646E-3</v>
      </c>
    </row>
    <row r="93" spans="1:12" ht="26.25" customHeight="1" x14ac:dyDescent="0.4">
      <c r="A93" s="76" t="s">
        <v>65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684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73</v>
      </c>
      <c r="B98" s="169">
        <f>(B97/B96)*(B95/B94)*(B93/B92)*(B91/B90)*B89</f>
        <v>50</v>
      </c>
      <c r="C98" s="167" t="s">
        <v>112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670" t="s">
        <v>75</v>
      </c>
      <c r="B99" s="685"/>
      <c r="C99" s="167" t="s">
        <v>113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672"/>
      <c r="B100" s="686"/>
      <c r="C100" s="167" t="s">
        <v>77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1000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1</v>
      </c>
      <c r="C108" s="227">
        <v>1</v>
      </c>
      <c r="D108" s="228">
        <v>3766506</v>
      </c>
      <c r="E108" s="202">
        <f t="shared" ref="E108:E113" si="1">IF(ISBLANK(D108),"-",D108/$D$103*$D$100*$B$116)</f>
        <v>313.85535362423485</v>
      </c>
      <c r="F108" s="229">
        <f t="shared" ref="F108:F113" si="2">IF(ISBLANK(D108), "-", (E108/$B$56)*100)</f>
        <v>104.61845120807828</v>
      </c>
    </row>
    <row r="109" spans="1:10" ht="26.25" customHeight="1" x14ac:dyDescent="0.4">
      <c r="A109" s="76" t="s">
        <v>92</v>
      </c>
      <c r="B109" s="77">
        <v>1</v>
      </c>
      <c r="C109" s="223">
        <v>2</v>
      </c>
      <c r="D109" s="225">
        <v>3709457</v>
      </c>
      <c r="E109" s="203">
        <f t="shared" si="1"/>
        <v>309.10157543593277</v>
      </c>
      <c r="F109" s="230">
        <f t="shared" si="2"/>
        <v>103.03385847864426</v>
      </c>
    </row>
    <row r="110" spans="1:10" ht="26.25" customHeight="1" x14ac:dyDescent="0.4">
      <c r="A110" s="76" t="s">
        <v>93</v>
      </c>
      <c r="B110" s="77">
        <v>1</v>
      </c>
      <c r="C110" s="223">
        <v>3</v>
      </c>
      <c r="D110" s="225">
        <v>3768312</v>
      </c>
      <c r="E110" s="203">
        <f t="shared" si="1"/>
        <v>314.00584396425961</v>
      </c>
      <c r="F110" s="230">
        <f t="shared" si="2"/>
        <v>104.66861465475321</v>
      </c>
    </row>
    <row r="111" spans="1:10" ht="26.25" customHeight="1" x14ac:dyDescent="0.4">
      <c r="A111" s="76" t="s">
        <v>94</v>
      </c>
      <c r="B111" s="77">
        <v>1</v>
      </c>
      <c r="C111" s="223">
        <v>4</v>
      </c>
      <c r="D111" s="225">
        <v>3778074</v>
      </c>
      <c r="E111" s="203">
        <f t="shared" si="1"/>
        <v>314.81929174904474</v>
      </c>
      <c r="F111" s="230">
        <f t="shared" si="2"/>
        <v>104.93976391634826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25">
        <v>3775659</v>
      </c>
      <c r="E112" s="203">
        <f t="shared" si="1"/>
        <v>314.61805466645347</v>
      </c>
      <c r="F112" s="230">
        <f t="shared" si="2"/>
        <v>104.87268488881783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26">
        <v>3775070</v>
      </c>
      <c r="E113" s="204">
        <f t="shared" si="1"/>
        <v>314.56897448357711</v>
      </c>
      <c r="F113" s="231">
        <f t="shared" si="2"/>
        <v>104.85632482785903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313.49484898725041</v>
      </c>
      <c r="F115" s="233">
        <f>AVERAGE(F108:F113)</f>
        <v>104.49828299575016</v>
      </c>
    </row>
    <row r="116" spans="1:10" ht="27" customHeight="1" x14ac:dyDescent="0.4">
      <c r="A116" s="76" t="s">
        <v>100</v>
      </c>
      <c r="B116" s="108">
        <f>(B115/B114)*(B113/B112)*(B111/B110)*(B109/B108)*B107</f>
        <v>1000</v>
      </c>
      <c r="C116" s="186"/>
      <c r="D116" s="210" t="s">
        <v>81</v>
      </c>
      <c r="E116" s="208">
        <f>STDEV(E108:E113)/E115</f>
        <v>6.968394113617357E-3</v>
      </c>
      <c r="F116" s="187">
        <f>STDEV(F108:F113)/F115</f>
        <v>6.9683941136173475E-3</v>
      </c>
      <c r="I116" s="50"/>
    </row>
    <row r="117" spans="1:10" ht="27" customHeight="1" x14ac:dyDescent="0.4">
      <c r="A117" s="670" t="s">
        <v>75</v>
      </c>
      <c r="B117" s="671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72"/>
      <c r="B118" s="673"/>
      <c r="C118" s="50"/>
      <c r="D118" s="212"/>
      <c r="E118" s="698" t="s">
        <v>120</v>
      </c>
      <c r="F118" s="699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309.10157543593277</v>
      </c>
      <c r="F119" s="234">
        <f>MIN(F108:F113)</f>
        <v>103.03385847864426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314.81929174904474</v>
      </c>
      <c r="F120" s="235">
        <f>MAX(F108:F113)</f>
        <v>104.93976391634826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674" t="str">
        <f>B26</f>
        <v xml:space="preserve"> Tenofovir Disoproxil Fumarate </v>
      </c>
      <c r="D124" s="674"/>
      <c r="E124" s="150" t="s">
        <v>124</v>
      </c>
      <c r="F124" s="150"/>
      <c r="G124" s="236">
        <f>F115</f>
        <v>104.49828299575016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6">
        <f>MIN(F108:F113)</f>
        <v>103.03385847864426</v>
      </c>
      <c r="E125" s="161" t="s">
        <v>127</v>
      </c>
      <c r="F125" s="236">
        <f>MAX(F108:F113)</f>
        <v>104.93976391634826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75" t="s">
        <v>23</v>
      </c>
      <c r="C127" s="675"/>
      <c r="E127" s="156" t="s">
        <v>24</v>
      </c>
      <c r="F127" s="191"/>
      <c r="G127" s="675" t="s">
        <v>25</v>
      </c>
      <c r="H127" s="675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C23" sqref="C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42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43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238"/>
    </row>
    <row r="16" spans="1:9" ht="19.5" customHeight="1" x14ac:dyDescent="0.3">
      <c r="A16" s="701" t="s">
        <v>28</v>
      </c>
      <c r="B16" s="702"/>
      <c r="C16" s="702"/>
      <c r="D16" s="702"/>
      <c r="E16" s="702"/>
      <c r="F16" s="702"/>
      <c r="G16" s="702"/>
      <c r="H16" s="703"/>
    </row>
    <row r="17" spans="1:14" ht="20.25" customHeight="1" x14ac:dyDescent="0.25">
      <c r="A17" s="704" t="s">
        <v>44</v>
      </c>
      <c r="B17" s="704"/>
      <c r="C17" s="704"/>
      <c r="D17" s="704"/>
      <c r="E17" s="704"/>
      <c r="F17" s="704"/>
      <c r="G17" s="704"/>
      <c r="H17" s="704"/>
    </row>
    <row r="18" spans="1:14" ht="26.25" customHeight="1" x14ac:dyDescent="0.4">
      <c r="A18" s="240" t="s">
        <v>30</v>
      </c>
      <c r="B18" s="705" t="s">
        <v>5</v>
      </c>
      <c r="C18" s="705"/>
      <c r="D18" s="386"/>
      <c r="E18" s="241"/>
      <c r="F18" s="242"/>
      <c r="G18" s="242"/>
      <c r="H18" s="242"/>
    </row>
    <row r="19" spans="1:14" ht="26.25" customHeight="1" x14ac:dyDescent="0.4">
      <c r="A19" s="240" t="s">
        <v>31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32</v>
      </c>
      <c r="B20" s="700" t="s">
        <v>130</v>
      </c>
      <c r="C20" s="700"/>
      <c r="D20" s="242"/>
      <c r="E20" s="242"/>
      <c r="F20" s="242"/>
      <c r="G20" s="242"/>
      <c r="H20" s="242"/>
    </row>
    <row r="21" spans="1:14" ht="26.25" customHeight="1" x14ac:dyDescent="0.4">
      <c r="A21" s="240" t="s">
        <v>33</v>
      </c>
      <c r="B21" s="700" t="s">
        <v>11</v>
      </c>
      <c r="C21" s="700"/>
      <c r="D21" s="700"/>
      <c r="E21" s="700"/>
      <c r="F21" s="700"/>
      <c r="G21" s="700"/>
      <c r="H21" s="700"/>
      <c r="I21" s="244"/>
    </row>
    <row r="22" spans="1:14" ht="26.25" customHeight="1" x14ac:dyDescent="0.4">
      <c r="A22" s="240" t="s">
        <v>34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35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700" t="s">
        <v>130</v>
      </c>
      <c r="C26" s="700"/>
    </row>
    <row r="27" spans="1:14" ht="26.25" customHeight="1" x14ac:dyDescent="0.4">
      <c r="A27" s="249" t="s">
        <v>45</v>
      </c>
      <c r="B27" s="706" t="s">
        <v>131</v>
      </c>
      <c r="C27" s="706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46</v>
      </c>
      <c r="B29" s="251">
        <v>0</v>
      </c>
      <c r="C29" s="676" t="s">
        <v>47</v>
      </c>
      <c r="D29" s="677"/>
      <c r="E29" s="677"/>
      <c r="F29" s="677"/>
      <c r="G29" s="678"/>
      <c r="I29" s="252"/>
      <c r="J29" s="252"/>
      <c r="K29" s="252"/>
      <c r="L29" s="252"/>
    </row>
    <row r="30" spans="1:14" s="3" customFormat="1" ht="19.5" customHeight="1" x14ac:dyDescent="0.3">
      <c r="A30" s="249" t="s">
        <v>48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49</v>
      </c>
      <c r="B31" s="256">
        <v>1</v>
      </c>
      <c r="C31" s="679" t="s">
        <v>50</v>
      </c>
      <c r="D31" s="680"/>
      <c r="E31" s="680"/>
      <c r="F31" s="680"/>
      <c r="G31" s="680"/>
      <c r="H31" s="681"/>
      <c r="I31" s="252"/>
      <c r="J31" s="252"/>
      <c r="K31" s="252"/>
      <c r="L31" s="252"/>
    </row>
    <row r="32" spans="1:14" s="3" customFormat="1" ht="27" customHeight="1" x14ac:dyDescent="0.4">
      <c r="A32" s="249" t="s">
        <v>51</v>
      </c>
      <c r="B32" s="256">
        <v>1</v>
      </c>
      <c r="C32" s="679" t="s">
        <v>52</v>
      </c>
      <c r="D32" s="680"/>
      <c r="E32" s="680"/>
      <c r="F32" s="680"/>
      <c r="G32" s="680"/>
      <c r="H32" s="681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53</v>
      </c>
      <c r="B34" s="261">
        <f>B31/B32</f>
        <v>1</v>
      </c>
      <c r="C34" s="239" t="s">
        <v>54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55</v>
      </c>
      <c r="B36" s="263">
        <v>100</v>
      </c>
      <c r="C36" s="239"/>
      <c r="D36" s="682" t="s">
        <v>56</v>
      </c>
      <c r="E36" s="707"/>
      <c r="F36" s="682" t="s">
        <v>57</v>
      </c>
      <c r="G36" s="683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58</v>
      </c>
      <c r="B37" s="265">
        <v>1</v>
      </c>
      <c r="C37" s="266" t="s">
        <v>59</v>
      </c>
      <c r="D37" s="267" t="s">
        <v>60</v>
      </c>
      <c r="E37" s="268" t="s">
        <v>61</v>
      </c>
      <c r="F37" s="267" t="s">
        <v>60</v>
      </c>
      <c r="G37" s="269" t="s">
        <v>61</v>
      </c>
      <c r="I37" s="270" t="s">
        <v>62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63</v>
      </c>
      <c r="B38" s="265">
        <v>1</v>
      </c>
      <c r="C38" s="271">
        <v>1</v>
      </c>
      <c r="D38" s="272">
        <v>20585360</v>
      </c>
      <c r="E38" s="273">
        <f>IF(ISBLANK(D38),"-",$D$48/$D$45*D38)</f>
        <v>20338822.957520414</v>
      </c>
      <c r="F38" s="272">
        <v>19785322</v>
      </c>
      <c r="G38" s="274">
        <f>IF(ISBLANK(F38),"-",$D$48/$F$45*F38)</f>
        <v>20790342.761865661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64</v>
      </c>
      <c r="B39" s="265">
        <v>1</v>
      </c>
      <c r="C39" s="276">
        <v>2</v>
      </c>
      <c r="D39" s="277">
        <v>20801744</v>
      </c>
      <c r="E39" s="278">
        <f>IF(ISBLANK(D39),"-",$D$48/$D$45*D39)</f>
        <v>20552615.471561465</v>
      </c>
      <c r="F39" s="277">
        <v>19335148</v>
      </c>
      <c r="G39" s="279">
        <f>IF(ISBLANK(F39),"-",$D$48/$F$45*F39)</f>
        <v>20317301.597184081</v>
      </c>
      <c r="I39" s="684">
        <f>ABS((F43/D43*D42)-F42)/D42</f>
        <v>6.9424115645235112E-3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65</v>
      </c>
      <c r="B40" s="265">
        <v>1</v>
      </c>
      <c r="C40" s="276">
        <v>3</v>
      </c>
      <c r="D40" s="277">
        <v>20793331</v>
      </c>
      <c r="E40" s="278">
        <f>IF(ISBLANK(D40),"-",$D$48/$D$45*D40)</f>
        <v>20544303.228416745</v>
      </c>
      <c r="F40" s="277">
        <v>19777104</v>
      </c>
      <c r="G40" s="279">
        <f>IF(ISBLANK(F40),"-",$D$48/$F$45*F40)</f>
        <v>20781707.318034269</v>
      </c>
      <c r="I40" s="684"/>
      <c r="L40" s="257"/>
      <c r="M40" s="257"/>
      <c r="N40" s="280"/>
    </row>
    <row r="41" spans="1:14" ht="27" customHeight="1" x14ac:dyDescent="0.4">
      <c r="A41" s="264" t="s">
        <v>66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67</v>
      </c>
      <c r="B42" s="265">
        <v>1</v>
      </c>
      <c r="C42" s="286" t="s">
        <v>68</v>
      </c>
      <c r="D42" s="287">
        <f>AVERAGE(D38:D41)</f>
        <v>20726811.666666668</v>
      </c>
      <c r="E42" s="288">
        <f>AVERAGE(E38:E41)</f>
        <v>20478580.552499544</v>
      </c>
      <c r="F42" s="287">
        <f>AVERAGE(F38:F41)</f>
        <v>19632524.666666668</v>
      </c>
      <c r="G42" s="289">
        <f>AVERAGE(G38:G41)</f>
        <v>20629783.892361335</v>
      </c>
      <c r="H42" s="290"/>
    </row>
    <row r="43" spans="1:14" ht="26.25" customHeight="1" x14ac:dyDescent="0.4">
      <c r="A43" s="264" t="s">
        <v>69</v>
      </c>
      <c r="B43" s="265">
        <v>1</v>
      </c>
      <c r="C43" s="291" t="s">
        <v>70</v>
      </c>
      <c r="D43" s="292">
        <v>12.22</v>
      </c>
      <c r="E43" s="280"/>
      <c r="F43" s="292">
        <v>11.49</v>
      </c>
      <c r="H43" s="290"/>
    </row>
    <row r="44" spans="1:14" ht="26.25" customHeight="1" x14ac:dyDescent="0.4">
      <c r="A44" s="264" t="s">
        <v>71</v>
      </c>
      <c r="B44" s="265">
        <v>1</v>
      </c>
      <c r="C44" s="293" t="s">
        <v>72</v>
      </c>
      <c r="D44" s="294">
        <f>D43*$B$34</f>
        <v>12.22</v>
      </c>
      <c r="E44" s="295"/>
      <c r="F44" s="294">
        <f>F43*$B$34</f>
        <v>11.49</v>
      </c>
      <c r="H44" s="290"/>
    </row>
    <row r="45" spans="1:14" ht="19.5" customHeight="1" x14ac:dyDescent="0.3">
      <c r="A45" s="264" t="s">
        <v>73</v>
      </c>
      <c r="B45" s="296">
        <f>(B44/B43)*(B42/B41)*(B40/B39)*(B38/B37)*B36</f>
        <v>100</v>
      </c>
      <c r="C45" s="293" t="s">
        <v>74</v>
      </c>
      <c r="D45" s="297">
        <f>D44*$B$30/100</f>
        <v>12.145458000000001</v>
      </c>
      <c r="E45" s="298"/>
      <c r="F45" s="297">
        <f>F44*$B$30/100</f>
        <v>11.419910999999999</v>
      </c>
      <c r="H45" s="290"/>
    </row>
    <row r="46" spans="1:14" ht="19.5" customHeight="1" x14ac:dyDescent="0.3">
      <c r="A46" s="670" t="s">
        <v>75</v>
      </c>
      <c r="B46" s="671"/>
      <c r="C46" s="293" t="s">
        <v>76</v>
      </c>
      <c r="D46" s="299">
        <f>D45/$B$45</f>
        <v>0.12145458000000002</v>
      </c>
      <c r="E46" s="300"/>
      <c r="F46" s="301">
        <f>F45/$B$45</f>
        <v>0.11419910999999999</v>
      </c>
      <c r="H46" s="290"/>
    </row>
    <row r="47" spans="1:14" ht="27" customHeight="1" x14ac:dyDescent="0.4">
      <c r="A47" s="672"/>
      <c r="B47" s="673"/>
      <c r="C47" s="302" t="s">
        <v>77</v>
      </c>
      <c r="D47" s="303">
        <v>0.12</v>
      </c>
      <c r="E47" s="304"/>
      <c r="F47" s="300"/>
      <c r="H47" s="290"/>
    </row>
    <row r="48" spans="1:14" ht="18.75" x14ac:dyDescent="0.3">
      <c r="C48" s="305" t="s">
        <v>78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79</v>
      </c>
      <c r="D49" s="308">
        <f>D48/B34</f>
        <v>12</v>
      </c>
      <c r="F49" s="306"/>
      <c r="H49" s="290"/>
    </row>
    <row r="50" spans="1:12" ht="18.75" x14ac:dyDescent="0.3">
      <c r="C50" s="262" t="s">
        <v>80</v>
      </c>
      <c r="D50" s="309">
        <f>AVERAGE(E38:E41,G38:G41)</f>
        <v>20554182.222430438</v>
      </c>
      <c r="F50" s="310"/>
      <c r="H50" s="290"/>
    </row>
    <row r="51" spans="1:12" ht="18.75" x14ac:dyDescent="0.3">
      <c r="C51" s="264" t="s">
        <v>81</v>
      </c>
      <c r="D51" s="311">
        <f>STDEV(E38:E41,G38:G41)/D50</f>
        <v>9.9737950603530721E-3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82</v>
      </c>
    </row>
    <row r="55" spans="1:12" ht="18.75" x14ac:dyDescent="0.3">
      <c r="A55" s="239" t="s">
        <v>83</v>
      </c>
      <c r="B55" s="316" t="str">
        <f>B21</f>
        <v>Each film coatred tablets contains: Efavirenz 600 mg, Emtricitabine 200mg, and Tenofovir Disoproxil Fumarate 300 mg Tablets equivant to Tenifovir Disoproxil 245 mg</v>
      </c>
    </row>
    <row r="56" spans="1:12" ht="26.25" customHeight="1" x14ac:dyDescent="0.4">
      <c r="A56" s="317" t="s">
        <v>84</v>
      </c>
      <c r="B56" s="318">
        <v>300</v>
      </c>
      <c r="C56" s="239" t="str">
        <f>B20</f>
        <v xml:space="preserve"> Lamivudine  </v>
      </c>
      <c r="H56" s="319"/>
    </row>
    <row r="57" spans="1:12" ht="18.75" x14ac:dyDescent="0.3">
      <c r="A57" s="316" t="s">
        <v>85</v>
      </c>
      <c r="B57" s="387">
        <f>Uniformity!C46</f>
        <v>1844.3049999999998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86</v>
      </c>
      <c r="B59" s="263">
        <v>200</v>
      </c>
      <c r="C59" s="239"/>
      <c r="D59" s="320" t="s">
        <v>87</v>
      </c>
      <c r="E59" s="321" t="s">
        <v>59</v>
      </c>
      <c r="F59" s="321" t="s">
        <v>60</v>
      </c>
      <c r="G59" s="321" t="s">
        <v>88</v>
      </c>
      <c r="H59" s="266" t="s">
        <v>89</v>
      </c>
      <c r="L59" s="252"/>
    </row>
    <row r="60" spans="1:12" s="3" customFormat="1" ht="26.25" customHeight="1" x14ac:dyDescent="0.4">
      <c r="A60" s="264" t="s">
        <v>90</v>
      </c>
      <c r="B60" s="265">
        <v>4</v>
      </c>
      <c r="C60" s="687" t="s">
        <v>91</v>
      </c>
      <c r="D60" s="690">
        <v>1842.65</v>
      </c>
      <c r="E60" s="322">
        <v>1</v>
      </c>
      <c r="F60" s="323">
        <v>21092107</v>
      </c>
      <c r="G60" s="388">
        <f>IF(ISBLANK(F60),"-",(F60/$D$50*$D$47*$B$68)*($B$57/$D$60))</f>
        <v>308.12781925908945</v>
      </c>
      <c r="H60" s="406">
        <f t="shared" ref="H60:H71" si="0">IF(ISBLANK(F60),"-",(G60/$B$56)*100)</f>
        <v>102.70927308636315</v>
      </c>
      <c r="L60" s="252"/>
    </row>
    <row r="61" spans="1:12" s="3" customFormat="1" ht="26.25" customHeight="1" x14ac:dyDescent="0.4">
      <c r="A61" s="264" t="s">
        <v>92</v>
      </c>
      <c r="B61" s="265">
        <v>50</v>
      </c>
      <c r="C61" s="688"/>
      <c r="D61" s="691"/>
      <c r="E61" s="324">
        <v>2</v>
      </c>
      <c r="F61" s="277">
        <v>21052463</v>
      </c>
      <c r="G61" s="389">
        <f>IF(ISBLANK(F61),"-",(F61/$D$50*$D$47*$B$68)*($B$57/$D$60))</f>
        <v>307.54867279132748</v>
      </c>
      <c r="H61" s="407">
        <f t="shared" si="0"/>
        <v>102.51622426377583</v>
      </c>
      <c r="L61" s="252"/>
    </row>
    <row r="62" spans="1:12" s="3" customFormat="1" ht="26.25" customHeight="1" x14ac:dyDescent="0.4">
      <c r="A62" s="264" t="s">
        <v>93</v>
      </c>
      <c r="B62" s="265">
        <v>1</v>
      </c>
      <c r="C62" s="688"/>
      <c r="D62" s="691"/>
      <c r="E62" s="324">
        <v>3</v>
      </c>
      <c r="F62" s="325">
        <v>21101294</v>
      </c>
      <c r="G62" s="389">
        <f>IF(ISBLANK(F62),"-",(F62/$D$50*$D$47*$B$68)*($B$57/$D$60))</f>
        <v>308.26202919247982</v>
      </c>
      <c r="H62" s="407">
        <f t="shared" si="0"/>
        <v>102.7540097308266</v>
      </c>
      <c r="L62" s="252"/>
    </row>
    <row r="63" spans="1:12" ht="27" customHeight="1" x14ac:dyDescent="0.4">
      <c r="A63" s="264" t="s">
        <v>94</v>
      </c>
      <c r="B63" s="265">
        <v>1</v>
      </c>
      <c r="C63" s="697"/>
      <c r="D63" s="692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95</v>
      </c>
      <c r="B64" s="265">
        <v>1</v>
      </c>
      <c r="C64" s="687" t="s">
        <v>96</v>
      </c>
      <c r="D64" s="690">
        <v>1846.26</v>
      </c>
      <c r="E64" s="322">
        <v>1</v>
      </c>
      <c r="F64" s="323">
        <v>20829351</v>
      </c>
      <c r="G64" s="388">
        <f>IF(ISBLANK(F64),"-",(F64/$D$50*$D$47*$B$68)*($B$57/$D$64))</f>
        <v>303.69432305658552</v>
      </c>
      <c r="H64" s="406">
        <f t="shared" si="0"/>
        <v>101.23144101886183</v>
      </c>
    </row>
    <row r="65" spans="1:8" ht="26.25" customHeight="1" x14ac:dyDescent="0.4">
      <c r="A65" s="264" t="s">
        <v>97</v>
      </c>
      <c r="B65" s="265">
        <v>1</v>
      </c>
      <c r="C65" s="688"/>
      <c r="D65" s="691"/>
      <c r="E65" s="324">
        <v>2</v>
      </c>
      <c r="F65" s="277">
        <v>21059969</v>
      </c>
      <c r="G65" s="389">
        <f>IF(ISBLANK(F65),"-",(F65/$D$50*$D$47*$B$68)*($B$57/$D$64))</f>
        <v>307.05675990805832</v>
      </c>
      <c r="H65" s="407">
        <f t="shared" si="0"/>
        <v>102.35225330268611</v>
      </c>
    </row>
    <row r="66" spans="1:8" ht="26.25" customHeight="1" x14ac:dyDescent="0.4">
      <c r="A66" s="264" t="s">
        <v>98</v>
      </c>
      <c r="B66" s="265">
        <v>1</v>
      </c>
      <c r="C66" s="688"/>
      <c r="D66" s="691"/>
      <c r="E66" s="324">
        <v>3</v>
      </c>
      <c r="F66" s="277">
        <v>21032862</v>
      </c>
      <c r="G66" s="389">
        <f>IF(ISBLANK(F66),"-",(F66/$D$50*$D$47*$B$68)*($B$57/$D$64))</f>
        <v>306.66153674363539</v>
      </c>
      <c r="H66" s="407">
        <f t="shared" si="0"/>
        <v>102.22051224787847</v>
      </c>
    </row>
    <row r="67" spans="1:8" ht="27" customHeight="1" x14ac:dyDescent="0.4">
      <c r="A67" s="264" t="s">
        <v>99</v>
      </c>
      <c r="B67" s="265">
        <v>1</v>
      </c>
      <c r="C67" s="697"/>
      <c r="D67" s="692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100</v>
      </c>
      <c r="B68" s="328">
        <f>(B67/B66)*(B65/B64)*(B63/B62)*(B61/B60)*B59</f>
        <v>2500</v>
      </c>
      <c r="C68" s="687" t="s">
        <v>101</v>
      </c>
      <c r="D68" s="690">
        <v>1843.48</v>
      </c>
      <c r="E68" s="322">
        <v>1</v>
      </c>
      <c r="F68" s="323">
        <v>20694172</v>
      </c>
      <c r="G68" s="388">
        <f>IF(ISBLANK(F68),"-",(F68/$D$50*$D$47*$B$68)*($B$57/$D$68))</f>
        <v>302.17840190270192</v>
      </c>
      <c r="H68" s="407">
        <f t="shared" si="0"/>
        <v>100.72613396756731</v>
      </c>
    </row>
    <row r="69" spans="1:8" ht="27" customHeight="1" x14ac:dyDescent="0.4">
      <c r="A69" s="312" t="s">
        <v>102</v>
      </c>
      <c r="B69" s="329">
        <f>(D47*B68)/B56*B57</f>
        <v>1844.3049999999998</v>
      </c>
      <c r="C69" s="688"/>
      <c r="D69" s="691"/>
      <c r="E69" s="324">
        <v>2</v>
      </c>
      <c r="F69" s="277">
        <v>20679111</v>
      </c>
      <c r="G69" s="389">
        <f>IF(ISBLANK(F69),"-",(F69/$D$50*$D$47*$B$68)*($B$57/$D$68))</f>
        <v>301.9584796506274</v>
      </c>
      <c r="H69" s="407">
        <f t="shared" si="0"/>
        <v>100.65282655020913</v>
      </c>
    </row>
    <row r="70" spans="1:8" ht="26.25" customHeight="1" x14ac:dyDescent="0.4">
      <c r="A70" s="693" t="s">
        <v>75</v>
      </c>
      <c r="B70" s="694"/>
      <c r="C70" s="688"/>
      <c r="D70" s="691"/>
      <c r="E70" s="324">
        <v>3</v>
      </c>
      <c r="F70" s="277">
        <v>20568269</v>
      </c>
      <c r="G70" s="389">
        <f>IF(ISBLANK(F70),"-",(F70/$D$50*$D$47*$B$68)*($B$57/$D$68))</f>
        <v>300.33995350598639</v>
      </c>
      <c r="H70" s="407">
        <f t="shared" si="0"/>
        <v>100.1133178353288</v>
      </c>
    </row>
    <row r="71" spans="1:8" ht="27" customHeight="1" x14ac:dyDescent="0.4">
      <c r="A71" s="695"/>
      <c r="B71" s="696"/>
      <c r="C71" s="689"/>
      <c r="D71" s="692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68</v>
      </c>
      <c r="G72" s="394">
        <f>AVERAGE(G60:G71)</f>
        <v>305.09199733449907</v>
      </c>
      <c r="H72" s="409">
        <f>AVERAGE(H60:H71)</f>
        <v>101.69733244483302</v>
      </c>
    </row>
    <row r="73" spans="1:8" ht="26.25" customHeight="1" x14ac:dyDescent="0.4">
      <c r="C73" s="330"/>
      <c r="D73" s="330"/>
      <c r="E73" s="330"/>
      <c r="F73" s="333" t="s">
        <v>81</v>
      </c>
      <c r="G73" s="393">
        <f>STDEV(G60:G71)/G72</f>
        <v>1.0000188063104098E-2</v>
      </c>
      <c r="H73" s="393">
        <f>STDEV(H60:H71)/H72</f>
        <v>1.00001880631041E-2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103</v>
      </c>
      <c r="B76" s="337" t="s">
        <v>104</v>
      </c>
      <c r="C76" s="674" t="str">
        <f>B26</f>
        <v xml:space="preserve"> Lamivudine  </v>
      </c>
      <c r="D76" s="674"/>
      <c r="E76" s="338" t="s">
        <v>105</v>
      </c>
      <c r="F76" s="338"/>
      <c r="G76" s="425">
        <f>H72</f>
        <v>101.69733244483302</v>
      </c>
      <c r="H76" s="340"/>
    </row>
    <row r="77" spans="1:8" ht="18.75" x14ac:dyDescent="0.3">
      <c r="A77" s="247" t="s">
        <v>106</v>
      </c>
      <c r="B77" s="247" t="s">
        <v>107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708" t="str">
        <f>B26</f>
        <v xml:space="preserve"> Lamivudine  </v>
      </c>
      <c r="C79" s="708"/>
    </row>
    <row r="80" spans="1:8" ht="26.25" customHeight="1" x14ac:dyDescent="0.4">
      <c r="A80" s="249" t="s">
        <v>45</v>
      </c>
      <c r="B80" s="708" t="str">
        <f>B27</f>
        <v>L3-10</v>
      </c>
      <c r="C80" s="708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46</v>
      </c>
      <c r="B82" s="251">
        <v>0</v>
      </c>
      <c r="C82" s="676" t="s">
        <v>47</v>
      </c>
      <c r="D82" s="677"/>
      <c r="E82" s="677"/>
      <c r="F82" s="677"/>
      <c r="G82" s="678"/>
      <c r="I82" s="252"/>
      <c r="J82" s="252"/>
      <c r="K82" s="252"/>
      <c r="L82" s="252"/>
    </row>
    <row r="83" spans="1:12" s="3" customFormat="1" ht="19.5" customHeight="1" x14ac:dyDescent="0.3">
      <c r="A83" s="249" t="s">
        <v>48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49</v>
      </c>
      <c r="B84" s="256">
        <v>1</v>
      </c>
      <c r="C84" s="679" t="s">
        <v>108</v>
      </c>
      <c r="D84" s="680"/>
      <c r="E84" s="680"/>
      <c r="F84" s="680"/>
      <c r="G84" s="680"/>
      <c r="H84" s="681"/>
      <c r="I84" s="252"/>
      <c r="J84" s="252"/>
      <c r="K84" s="252"/>
      <c r="L84" s="252"/>
    </row>
    <row r="85" spans="1:12" s="3" customFormat="1" ht="27" customHeight="1" x14ac:dyDescent="0.4">
      <c r="A85" s="249" t="s">
        <v>51</v>
      </c>
      <c r="B85" s="256">
        <v>1</v>
      </c>
      <c r="C85" s="679" t="s">
        <v>109</v>
      </c>
      <c r="D85" s="680"/>
      <c r="E85" s="680"/>
      <c r="F85" s="680"/>
      <c r="G85" s="680"/>
      <c r="H85" s="681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53</v>
      </c>
      <c r="B87" s="261">
        <f>B84/B85</f>
        <v>1</v>
      </c>
      <c r="C87" s="239" t="s">
        <v>54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55</v>
      </c>
      <c r="B89" s="263">
        <v>50</v>
      </c>
      <c r="D89" s="342" t="s">
        <v>56</v>
      </c>
      <c r="E89" s="343"/>
      <c r="F89" s="682" t="s">
        <v>57</v>
      </c>
      <c r="G89" s="683"/>
    </row>
    <row r="90" spans="1:12" ht="27" customHeight="1" x14ac:dyDescent="0.4">
      <c r="A90" s="264" t="s">
        <v>58</v>
      </c>
      <c r="B90" s="265">
        <v>1</v>
      </c>
      <c r="C90" s="344" t="s">
        <v>59</v>
      </c>
      <c r="D90" s="267" t="s">
        <v>60</v>
      </c>
      <c r="E90" s="268" t="s">
        <v>61</v>
      </c>
      <c r="F90" s="267" t="s">
        <v>60</v>
      </c>
      <c r="G90" s="345" t="s">
        <v>61</v>
      </c>
      <c r="I90" s="270" t="s">
        <v>62</v>
      </c>
    </row>
    <row r="91" spans="1:12" ht="26.25" customHeight="1" x14ac:dyDescent="0.4">
      <c r="A91" s="264" t="s">
        <v>63</v>
      </c>
      <c r="B91" s="265">
        <v>1</v>
      </c>
      <c r="C91" s="346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64</v>
      </c>
      <c r="B92" s="265">
        <v>1</v>
      </c>
      <c r="C92" s="331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684">
        <f>ABS((F96/D96*D95)-F95)/D95</f>
        <v>2.5864316921921831E-3</v>
      </c>
    </row>
    <row r="93" spans="1:12" ht="26.25" customHeight="1" x14ac:dyDescent="0.4">
      <c r="A93" s="264" t="s">
        <v>65</v>
      </c>
      <c r="B93" s="265">
        <v>1</v>
      </c>
      <c r="C93" s="331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684"/>
    </row>
    <row r="94" spans="1:12" ht="27" customHeight="1" x14ac:dyDescent="0.4">
      <c r="A94" s="264" t="s">
        <v>66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67</v>
      </c>
      <c r="B95" s="265">
        <v>1</v>
      </c>
      <c r="C95" s="349" t="s">
        <v>68</v>
      </c>
      <c r="D95" s="350">
        <f>AVERAGE(D91:D94)</f>
        <v>3682783</v>
      </c>
      <c r="E95" s="288">
        <f>AVERAGE(E91:E94)</f>
        <v>3717778.4485360696</v>
      </c>
      <c r="F95" s="351">
        <f>AVERAGE(F91:F94)</f>
        <v>3781647.3333333335</v>
      </c>
      <c r="G95" s="352">
        <f>AVERAGE(G91:G94)</f>
        <v>3708437.583620056</v>
      </c>
    </row>
    <row r="96" spans="1:12" ht="26.25" customHeight="1" x14ac:dyDescent="0.4">
      <c r="A96" s="264" t="s">
        <v>69</v>
      </c>
      <c r="B96" s="250">
        <v>1</v>
      </c>
      <c r="C96" s="353" t="s">
        <v>110</v>
      </c>
      <c r="D96" s="354">
        <v>14.95</v>
      </c>
      <c r="E96" s="280"/>
      <c r="F96" s="292">
        <v>15.39</v>
      </c>
    </row>
    <row r="97" spans="1:10" ht="26.25" customHeight="1" x14ac:dyDescent="0.4">
      <c r="A97" s="264" t="s">
        <v>71</v>
      </c>
      <c r="B97" s="250">
        <v>1</v>
      </c>
      <c r="C97" s="355" t="s">
        <v>111</v>
      </c>
      <c r="D97" s="356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73</v>
      </c>
      <c r="B98" s="357">
        <f>(B97/B96)*(B95/B94)*(B93/B92)*(B91/B90)*B89</f>
        <v>50</v>
      </c>
      <c r="C98" s="355" t="s">
        <v>112</v>
      </c>
      <c r="D98" s="358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670" t="s">
        <v>75</v>
      </c>
      <c r="B99" s="685"/>
      <c r="C99" s="355" t="s">
        <v>113</v>
      </c>
      <c r="D99" s="359">
        <f>D98/$B$98</f>
        <v>0.2971761</v>
      </c>
      <c r="E99" s="298"/>
      <c r="F99" s="301">
        <f>F98/$B$98</f>
        <v>0.30592242000000003</v>
      </c>
      <c r="G99" s="360"/>
      <c r="H99" s="290"/>
    </row>
    <row r="100" spans="1:10" ht="19.5" customHeight="1" x14ac:dyDescent="0.3">
      <c r="A100" s="672"/>
      <c r="B100" s="686"/>
      <c r="C100" s="355" t="s">
        <v>77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78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79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114</v>
      </c>
      <c r="D103" s="367">
        <f>AVERAGE(E91:E94,G91:G94)</f>
        <v>3713108.0160780628</v>
      </c>
      <c r="F103" s="310"/>
      <c r="G103" s="368"/>
      <c r="H103" s="290"/>
      <c r="J103" s="369"/>
    </row>
    <row r="104" spans="1:10" ht="18.75" x14ac:dyDescent="0.3">
      <c r="C104" s="333" t="s">
        <v>81</v>
      </c>
      <c r="D104" s="370">
        <f>STDEV(E91:E94,G91:G94)/D103</f>
        <v>5.3529973754918017E-3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115</v>
      </c>
      <c r="B107" s="263">
        <v>1000</v>
      </c>
      <c r="C107" s="410" t="s">
        <v>116</v>
      </c>
      <c r="D107" s="410" t="s">
        <v>60</v>
      </c>
      <c r="E107" s="410" t="s">
        <v>117</v>
      </c>
      <c r="F107" s="372" t="s">
        <v>118</v>
      </c>
    </row>
    <row r="108" spans="1:10" ht="26.25" customHeight="1" x14ac:dyDescent="0.4">
      <c r="A108" s="264" t="s">
        <v>119</v>
      </c>
      <c r="B108" s="265">
        <v>1</v>
      </c>
      <c r="C108" s="415">
        <v>1</v>
      </c>
      <c r="D108" s="416">
        <v>3806643</v>
      </c>
      <c r="E108" s="390">
        <f t="shared" ref="E108:E113" si="1">IF(ISBLANK(D108),"-",D108/$D$103*$D$100*$B$116)</f>
        <v>307.55714486491553</v>
      </c>
      <c r="F108" s="417">
        <f t="shared" ref="F108:F113" si="2">IF(ISBLANK(D108), "-", (E108/$B$56)*100)</f>
        <v>102.51904828830519</v>
      </c>
    </row>
    <row r="109" spans="1:10" ht="26.25" customHeight="1" x14ac:dyDescent="0.4">
      <c r="A109" s="264" t="s">
        <v>92</v>
      </c>
      <c r="B109" s="265">
        <v>1</v>
      </c>
      <c r="C109" s="411">
        <v>2</v>
      </c>
      <c r="D109" s="413">
        <v>3800977</v>
      </c>
      <c r="E109" s="391">
        <f t="shared" si="1"/>
        <v>307.09936125273953</v>
      </c>
      <c r="F109" s="418">
        <f t="shared" si="2"/>
        <v>102.36645375091318</v>
      </c>
    </row>
    <row r="110" spans="1:10" ht="26.25" customHeight="1" x14ac:dyDescent="0.4">
      <c r="A110" s="264" t="s">
        <v>93</v>
      </c>
      <c r="B110" s="265">
        <v>1</v>
      </c>
      <c r="C110" s="411">
        <v>3</v>
      </c>
      <c r="D110" s="413">
        <v>3801093</v>
      </c>
      <c r="E110" s="391">
        <f t="shared" si="1"/>
        <v>307.10873345517729</v>
      </c>
      <c r="F110" s="418">
        <f t="shared" si="2"/>
        <v>102.36957781839241</v>
      </c>
    </row>
    <row r="111" spans="1:10" ht="26.25" customHeight="1" x14ac:dyDescent="0.4">
      <c r="A111" s="264" t="s">
        <v>94</v>
      </c>
      <c r="B111" s="265">
        <v>1</v>
      </c>
      <c r="C111" s="411">
        <v>4</v>
      </c>
      <c r="D111" s="413">
        <v>3807257</v>
      </c>
      <c r="E111" s="391">
        <f t="shared" si="1"/>
        <v>307.60675290195684</v>
      </c>
      <c r="F111" s="418">
        <f t="shared" si="2"/>
        <v>102.53558430065229</v>
      </c>
    </row>
    <row r="112" spans="1:10" ht="26.25" customHeight="1" x14ac:dyDescent="0.4">
      <c r="A112" s="264" t="s">
        <v>95</v>
      </c>
      <c r="B112" s="265">
        <v>1</v>
      </c>
      <c r="C112" s="411">
        <v>5</v>
      </c>
      <c r="D112" s="413">
        <v>3799923</v>
      </c>
      <c r="E112" s="391">
        <f t="shared" si="1"/>
        <v>307.01420348231358</v>
      </c>
      <c r="F112" s="418">
        <f t="shared" si="2"/>
        <v>102.33806782743787</v>
      </c>
    </row>
    <row r="113" spans="1:10" ht="27" customHeight="1" x14ac:dyDescent="0.4">
      <c r="A113" s="264" t="s">
        <v>97</v>
      </c>
      <c r="B113" s="265">
        <v>1</v>
      </c>
      <c r="C113" s="412">
        <v>6</v>
      </c>
      <c r="D113" s="414">
        <v>3784962</v>
      </c>
      <c r="E113" s="392">
        <f t="shared" si="1"/>
        <v>305.80543175238665</v>
      </c>
      <c r="F113" s="419">
        <f t="shared" si="2"/>
        <v>101.93514391746221</v>
      </c>
    </row>
    <row r="114" spans="1:10" ht="27" customHeight="1" x14ac:dyDescent="0.4">
      <c r="A114" s="264" t="s">
        <v>98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99</v>
      </c>
      <c r="B115" s="265">
        <v>1</v>
      </c>
      <c r="C115" s="373"/>
      <c r="D115" s="397" t="s">
        <v>68</v>
      </c>
      <c r="E115" s="399">
        <f>AVERAGE(E108:E113)</f>
        <v>307.0319379515816</v>
      </c>
      <c r="F115" s="421">
        <f>AVERAGE(F108:F113)</f>
        <v>102.34397931719387</v>
      </c>
    </row>
    <row r="116" spans="1:10" ht="27" customHeight="1" x14ac:dyDescent="0.4">
      <c r="A116" s="264" t="s">
        <v>100</v>
      </c>
      <c r="B116" s="296">
        <f>(B115/B114)*(B113/B112)*(B111/B110)*(B109/B108)*B107</f>
        <v>1000</v>
      </c>
      <c r="C116" s="374"/>
      <c r="D116" s="398" t="s">
        <v>81</v>
      </c>
      <c r="E116" s="396">
        <f>STDEV(E108:E113)/E115</f>
        <v>2.1214634584994269E-3</v>
      </c>
      <c r="F116" s="375">
        <f>STDEV(F108:F113)/F115</f>
        <v>2.1214634584994728E-3</v>
      </c>
      <c r="I116" s="238"/>
    </row>
    <row r="117" spans="1:10" ht="27" customHeight="1" x14ac:dyDescent="0.4">
      <c r="A117" s="670" t="s">
        <v>75</v>
      </c>
      <c r="B117" s="671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72"/>
      <c r="B118" s="673"/>
      <c r="C118" s="238"/>
      <c r="D118" s="400"/>
      <c r="E118" s="698" t="s">
        <v>120</v>
      </c>
      <c r="F118" s="699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121</v>
      </c>
      <c r="E119" s="403">
        <f>MIN(E108:E113)</f>
        <v>305.80543175238665</v>
      </c>
      <c r="F119" s="422">
        <f>MIN(F108:F113)</f>
        <v>101.93514391746221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122</v>
      </c>
      <c r="E120" s="404">
        <f>MAX(E108:E113)</f>
        <v>307.60675290195684</v>
      </c>
      <c r="F120" s="423">
        <f>MAX(F108:F113)</f>
        <v>102.53558430065229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103</v>
      </c>
      <c r="B124" s="337" t="s">
        <v>123</v>
      </c>
      <c r="C124" s="674" t="str">
        <f>B26</f>
        <v xml:space="preserve"> Lamivudine  </v>
      </c>
      <c r="D124" s="674"/>
      <c r="E124" s="338" t="s">
        <v>124</v>
      </c>
      <c r="F124" s="338"/>
      <c r="G124" s="424">
        <f>F115</f>
        <v>102.34397931719387</v>
      </c>
      <c r="H124" s="238"/>
      <c r="I124" s="238"/>
    </row>
    <row r="125" spans="1:10" ht="45.75" customHeight="1" x14ac:dyDescent="0.65">
      <c r="A125" s="248"/>
      <c r="B125" s="337" t="s">
        <v>125</v>
      </c>
      <c r="C125" s="249" t="s">
        <v>126</v>
      </c>
      <c r="D125" s="424">
        <f>MIN(F108:F113)</f>
        <v>101.93514391746221</v>
      </c>
      <c r="E125" s="349" t="s">
        <v>127</v>
      </c>
      <c r="F125" s="424">
        <f>MAX(F108:F113)</f>
        <v>102.53558430065229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75" t="s">
        <v>23</v>
      </c>
      <c r="C127" s="675"/>
      <c r="E127" s="344" t="s">
        <v>24</v>
      </c>
      <c r="F127" s="379"/>
      <c r="G127" s="675" t="s">
        <v>25</v>
      </c>
      <c r="H127" s="675"/>
    </row>
    <row r="128" spans="1:10" ht="69.95" customHeight="1" x14ac:dyDescent="0.3">
      <c r="A128" s="380" t="s">
        <v>26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27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C25" sqref="C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42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43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426"/>
    </row>
    <row r="16" spans="1:9" ht="19.5" customHeight="1" x14ac:dyDescent="0.3">
      <c r="A16" s="701" t="s">
        <v>28</v>
      </c>
      <c r="B16" s="702"/>
      <c r="C16" s="702"/>
      <c r="D16" s="702"/>
      <c r="E16" s="702"/>
      <c r="F16" s="702"/>
      <c r="G16" s="702"/>
      <c r="H16" s="703"/>
    </row>
    <row r="17" spans="1:14" ht="20.25" customHeight="1" x14ac:dyDescent="0.25">
      <c r="A17" s="704" t="s">
        <v>44</v>
      </c>
      <c r="B17" s="704"/>
      <c r="C17" s="704"/>
      <c r="D17" s="704"/>
      <c r="E17" s="704"/>
      <c r="F17" s="704"/>
      <c r="G17" s="704"/>
      <c r="H17" s="704"/>
    </row>
    <row r="18" spans="1:14" ht="26.25" customHeight="1" x14ac:dyDescent="0.4">
      <c r="A18" s="428" t="s">
        <v>30</v>
      </c>
      <c r="B18" s="705" t="s">
        <v>5</v>
      </c>
      <c r="C18" s="705"/>
      <c r="D18" s="574"/>
      <c r="E18" s="429"/>
      <c r="F18" s="430"/>
      <c r="G18" s="430"/>
      <c r="H18" s="430"/>
    </row>
    <row r="19" spans="1:14" ht="26.25" customHeight="1" x14ac:dyDescent="0.4">
      <c r="A19" s="428" t="s">
        <v>31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32</v>
      </c>
      <c r="B20" s="700" t="s">
        <v>132</v>
      </c>
      <c r="C20" s="700"/>
      <c r="D20" s="430"/>
      <c r="E20" s="430"/>
      <c r="F20" s="430"/>
      <c r="G20" s="430"/>
      <c r="H20" s="430"/>
    </row>
    <row r="21" spans="1:14" ht="26.25" customHeight="1" x14ac:dyDescent="0.4">
      <c r="A21" s="428" t="s">
        <v>33</v>
      </c>
      <c r="B21" s="700" t="s">
        <v>11</v>
      </c>
      <c r="C21" s="700"/>
      <c r="D21" s="700"/>
      <c r="E21" s="700"/>
      <c r="F21" s="700"/>
      <c r="G21" s="700"/>
      <c r="H21" s="700"/>
      <c r="I21" s="432"/>
    </row>
    <row r="22" spans="1:14" ht="26.25" customHeight="1" x14ac:dyDescent="0.4">
      <c r="A22" s="428" t="s">
        <v>34</v>
      </c>
      <c r="B22" s="433">
        <v>42985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35</v>
      </c>
      <c r="B23" s="433">
        <v>43006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700" t="s">
        <v>132</v>
      </c>
      <c r="C26" s="700"/>
    </row>
    <row r="27" spans="1:14" ht="26.25" customHeight="1" x14ac:dyDescent="0.4">
      <c r="A27" s="437" t="s">
        <v>45</v>
      </c>
      <c r="B27" s="706" t="s">
        <v>133</v>
      </c>
      <c r="C27" s="706"/>
    </row>
    <row r="28" spans="1:14" ht="27" customHeight="1" x14ac:dyDescent="0.4">
      <c r="A28" s="437" t="s">
        <v>6</v>
      </c>
      <c r="B28" s="438">
        <v>97.21</v>
      </c>
    </row>
    <row r="29" spans="1:14" s="3" customFormat="1" ht="27" customHeight="1" x14ac:dyDescent="0.4">
      <c r="A29" s="437" t="s">
        <v>46</v>
      </c>
      <c r="B29" s="439">
        <v>0</v>
      </c>
      <c r="C29" s="676" t="s">
        <v>47</v>
      </c>
      <c r="D29" s="677"/>
      <c r="E29" s="677"/>
      <c r="F29" s="677"/>
      <c r="G29" s="678"/>
      <c r="I29" s="440"/>
      <c r="J29" s="440"/>
      <c r="K29" s="440"/>
      <c r="L29" s="440"/>
    </row>
    <row r="30" spans="1:14" s="3" customFormat="1" ht="19.5" customHeight="1" x14ac:dyDescent="0.3">
      <c r="A30" s="437" t="s">
        <v>48</v>
      </c>
      <c r="B30" s="441">
        <f>B28-B29</f>
        <v>97.21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49</v>
      </c>
      <c r="B31" s="444">
        <v>1</v>
      </c>
      <c r="C31" s="679" t="s">
        <v>50</v>
      </c>
      <c r="D31" s="680"/>
      <c r="E31" s="680"/>
      <c r="F31" s="680"/>
      <c r="G31" s="680"/>
      <c r="H31" s="681"/>
      <c r="I31" s="440"/>
      <c r="J31" s="440"/>
      <c r="K31" s="440"/>
      <c r="L31" s="440"/>
    </row>
    <row r="32" spans="1:14" s="3" customFormat="1" ht="27" customHeight="1" x14ac:dyDescent="0.4">
      <c r="A32" s="437" t="s">
        <v>51</v>
      </c>
      <c r="B32" s="444">
        <v>1</v>
      </c>
      <c r="C32" s="679" t="s">
        <v>52</v>
      </c>
      <c r="D32" s="680"/>
      <c r="E32" s="680"/>
      <c r="F32" s="680"/>
      <c r="G32" s="680"/>
      <c r="H32" s="681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53</v>
      </c>
      <c r="B34" s="449">
        <f>B31/B32</f>
        <v>1</v>
      </c>
      <c r="C34" s="427" t="s">
        <v>54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55</v>
      </c>
      <c r="B36" s="451">
        <v>100</v>
      </c>
      <c r="C36" s="427"/>
      <c r="D36" s="682" t="s">
        <v>56</v>
      </c>
      <c r="E36" s="707"/>
      <c r="F36" s="682" t="s">
        <v>57</v>
      </c>
      <c r="G36" s="683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58</v>
      </c>
      <c r="B37" s="453">
        <v>1</v>
      </c>
      <c r="C37" s="454" t="s">
        <v>59</v>
      </c>
      <c r="D37" s="455" t="s">
        <v>60</v>
      </c>
      <c r="E37" s="456" t="s">
        <v>61</v>
      </c>
      <c r="F37" s="455" t="s">
        <v>60</v>
      </c>
      <c r="G37" s="457" t="s">
        <v>61</v>
      </c>
      <c r="I37" s="458" t="s">
        <v>62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63</v>
      </c>
      <c r="B38" s="453">
        <v>1</v>
      </c>
      <c r="C38" s="459">
        <v>1</v>
      </c>
      <c r="D38" s="460">
        <v>4101143</v>
      </c>
      <c r="E38" s="461">
        <f>IF(ISBLANK(D38),"-",$D$48/$D$45*D38)</f>
        <v>4210077.8882591454</v>
      </c>
      <c r="F38" s="460">
        <v>4584981</v>
      </c>
      <c r="G38" s="462">
        <f>IF(ISBLANK(F38),"-",$D$48/$F$45*F38)</f>
        <v>4276454.9130021138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64</v>
      </c>
      <c r="B39" s="453">
        <v>1</v>
      </c>
      <c r="C39" s="464">
        <v>2</v>
      </c>
      <c r="D39" s="465">
        <v>4152489</v>
      </c>
      <c r="E39" s="466">
        <f>IF(ISBLANK(D39),"-",$D$48/$D$45*D39)</f>
        <v>4262787.7448163433</v>
      </c>
      <c r="F39" s="465">
        <v>4558801</v>
      </c>
      <c r="G39" s="467">
        <f>IF(ISBLANK(F39),"-",$D$48/$F$45*F39)</f>
        <v>4252036.5807075202</v>
      </c>
      <c r="I39" s="684">
        <f>ABS((F43/D43*D42)-F42)/D42</f>
        <v>5.8841452260763628E-3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65</v>
      </c>
      <c r="B40" s="453">
        <v>1</v>
      </c>
      <c r="C40" s="464">
        <v>3</v>
      </c>
      <c r="D40" s="465">
        <v>4156496</v>
      </c>
      <c r="E40" s="466">
        <f>IF(ISBLANK(D40),"-",$D$48/$D$45*D40)</f>
        <v>4266901.1790707093</v>
      </c>
      <c r="F40" s="465">
        <v>4588122</v>
      </c>
      <c r="G40" s="467">
        <f>IF(ISBLANK(F40),"-",$D$48/$F$45*F40)</f>
        <v>4279384.5532518197</v>
      </c>
      <c r="I40" s="684"/>
      <c r="L40" s="445"/>
      <c r="M40" s="445"/>
      <c r="N40" s="468"/>
    </row>
    <row r="41" spans="1:14" ht="27" customHeight="1" x14ac:dyDescent="0.4">
      <c r="A41" s="452" t="s">
        <v>66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67</v>
      </c>
      <c r="B42" s="453">
        <v>1</v>
      </c>
      <c r="C42" s="474" t="s">
        <v>68</v>
      </c>
      <c r="D42" s="475">
        <f>AVERAGE(D38:D41)</f>
        <v>4136709.3333333335</v>
      </c>
      <c r="E42" s="476">
        <f>AVERAGE(E38:E41)</f>
        <v>4246588.9373820657</v>
      </c>
      <c r="F42" s="475">
        <f>AVERAGE(F38:F41)</f>
        <v>4577301.333333333</v>
      </c>
      <c r="G42" s="477">
        <f>AVERAGE(G38:G41)</f>
        <v>4269292.0156538179</v>
      </c>
      <c r="H42" s="478"/>
    </row>
    <row r="43" spans="1:14" ht="26.25" customHeight="1" x14ac:dyDescent="0.4">
      <c r="A43" s="452" t="s">
        <v>69</v>
      </c>
      <c r="B43" s="453">
        <v>1</v>
      </c>
      <c r="C43" s="479" t="s">
        <v>70</v>
      </c>
      <c r="D43" s="480">
        <v>24.05</v>
      </c>
      <c r="E43" s="468"/>
      <c r="F43" s="480">
        <v>26.47</v>
      </c>
      <c r="H43" s="478"/>
    </row>
    <row r="44" spans="1:14" ht="26.25" customHeight="1" x14ac:dyDescent="0.4">
      <c r="A44" s="452" t="s">
        <v>71</v>
      </c>
      <c r="B44" s="453">
        <v>1</v>
      </c>
      <c r="C44" s="481" t="s">
        <v>72</v>
      </c>
      <c r="D44" s="482">
        <f>D43*$B$34</f>
        <v>24.05</v>
      </c>
      <c r="E44" s="483"/>
      <c r="F44" s="482">
        <f>F43*$B$34</f>
        <v>26.47</v>
      </c>
      <c r="H44" s="478"/>
    </row>
    <row r="45" spans="1:14" ht="19.5" customHeight="1" x14ac:dyDescent="0.3">
      <c r="A45" s="452" t="s">
        <v>73</v>
      </c>
      <c r="B45" s="484">
        <f>(B44/B43)*(B42/B41)*(B40/B39)*(B38/B37)*B36</f>
        <v>100</v>
      </c>
      <c r="C45" s="481" t="s">
        <v>74</v>
      </c>
      <c r="D45" s="485">
        <f>D44*$B$30/100</f>
        <v>23.379004999999996</v>
      </c>
      <c r="E45" s="486"/>
      <c r="F45" s="485">
        <f>F44*$B$30/100</f>
        <v>25.731486999999998</v>
      </c>
      <c r="H45" s="478"/>
    </row>
    <row r="46" spans="1:14" ht="19.5" customHeight="1" x14ac:dyDescent="0.3">
      <c r="A46" s="670" t="s">
        <v>75</v>
      </c>
      <c r="B46" s="671"/>
      <c r="C46" s="481" t="s">
        <v>76</v>
      </c>
      <c r="D46" s="487">
        <f>D45/$B$45</f>
        <v>0.23379004999999997</v>
      </c>
      <c r="E46" s="488"/>
      <c r="F46" s="489">
        <f>F45/$B$45</f>
        <v>0.25731486999999997</v>
      </c>
      <c r="H46" s="478"/>
    </row>
    <row r="47" spans="1:14" ht="27" customHeight="1" x14ac:dyDescent="0.4">
      <c r="A47" s="672"/>
      <c r="B47" s="673"/>
      <c r="C47" s="490" t="s">
        <v>77</v>
      </c>
      <c r="D47" s="491">
        <v>0.24</v>
      </c>
      <c r="E47" s="492"/>
      <c r="F47" s="488"/>
      <c r="H47" s="478"/>
    </row>
    <row r="48" spans="1:14" ht="18.75" x14ac:dyDescent="0.3">
      <c r="C48" s="493" t="s">
        <v>78</v>
      </c>
      <c r="D48" s="485">
        <f>D47*$B$45</f>
        <v>24</v>
      </c>
      <c r="F48" s="494"/>
      <c r="H48" s="478"/>
    </row>
    <row r="49" spans="1:12" ht="19.5" customHeight="1" x14ac:dyDescent="0.3">
      <c r="C49" s="495" t="s">
        <v>79</v>
      </c>
      <c r="D49" s="496">
        <f>D48/B34</f>
        <v>24</v>
      </c>
      <c r="F49" s="494"/>
      <c r="H49" s="478"/>
    </row>
    <row r="50" spans="1:12" ht="18.75" x14ac:dyDescent="0.3">
      <c r="C50" s="450" t="s">
        <v>80</v>
      </c>
      <c r="D50" s="497">
        <f>AVERAGE(E38:E41,G38:G41)</f>
        <v>4257940.4765179418</v>
      </c>
      <c r="F50" s="498"/>
      <c r="H50" s="478"/>
    </row>
    <row r="51" spans="1:12" ht="18.75" x14ac:dyDescent="0.3">
      <c r="C51" s="452" t="s">
        <v>81</v>
      </c>
      <c r="D51" s="499">
        <f>STDEV(E38:E41,G38:G41)/D50</f>
        <v>5.9711534421229518E-3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82</v>
      </c>
    </row>
    <row r="55" spans="1:12" ht="18.75" x14ac:dyDescent="0.3">
      <c r="A55" s="427" t="s">
        <v>83</v>
      </c>
      <c r="B55" s="504" t="str">
        <f>B21</f>
        <v>Each film coatred tablets contains: Efavirenz 600 mg, Emtricitabine 200mg, and Tenofovir Disoproxil Fumarate 300 mg Tablets equivant to Tenifovir Disoproxil 245 mg</v>
      </c>
    </row>
    <row r="56" spans="1:12" ht="26.25" customHeight="1" x14ac:dyDescent="0.4">
      <c r="A56" s="505" t="s">
        <v>84</v>
      </c>
      <c r="B56" s="506">
        <v>600</v>
      </c>
      <c r="C56" s="427" t="str">
        <f>B20</f>
        <v xml:space="preserve">Efavirenz </v>
      </c>
      <c r="H56" s="507"/>
    </row>
    <row r="57" spans="1:12" ht="18.75" x14ac:dyDescent="0.3">
      <c r="A57" s="504" t="s">
        <v>85</v>
      </c>
      <c r="B57" s="575">
        <f>Uniformity!C46</f>
        <v>1844.3049999999998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86</v>
      </c>
      <c r="B59" s="451">
        <v>200</v>
      </c>
      <c r="C59" s="427"/>
      <c r="D59" s="508" t="s">
        <v>87</v>
      </c>
      <c r="E59" s="509" t="s">
        <v>59</v>
      </c>
      <c r="F59" s="509" t="s">
        <v>60</v>
      </c>
      <c r="G59" s="509" t="s">
        <v>88</v>
      </c>
      <c r="H59" s="454" t="s">
        <v>89</v>
      </c>
      <c r="L59" s="440"/>
    </row>
    <row r="60" spans="1:12" s="3" customFormat="1" ht="26.25" customHeight="1" x14ac:dyDescent="0.4">
      <c r="A60" s="452" t="s">
        <v>90</v>
      </c>
      <c r="B60" s="453">
        <v>4</v>
      </c>
      <c r="C60" s="687" t="s">
        <v>91</v>
      </c>
      <c r="D60" s="690">
        <v>1842.65</v>
      </c>
      <c r="E60" s="510">
        <v>1</v>
      </c>
      <c r="F60" s="511">
        <v>3954805</v>
      </c>
      <c r="G60" s="576">
        <f>IF(ISBLANK(F60),"-",(F60/$D$50*$D$47*$B$68)*($B$57/$D$60))</f>
        <v>557.78474329196558</v>
      </c>
      <c r="H60" s="594">
        <f t="shared" ref="H60:H71" si="0">IF(ISBLANK(F60),"-",(G60/$B$56)*100)</f>
        <v>92.964123881994269</v>
      </c>
      <c r="L60" s="440"/>
    </row>
    <row r="61" spans="1:12" s="3" customFormat="1" ht="26.25" customHeight="1" x14ac:dyDescent="0.4">
      <c r="A61" s="452" t="s">
        <v>92</v>
      </c>
      <c r="B61" s="453">
        <v>50</v>
      </c>
      <c r="C61" s="688"/>
      <c r="D61" s="691"/>
      <c r="E61" s="512">
        <v>2</v>
      </c>
      <c r="F61" s="465">
        <v>3938491</v>
      </c>
      <c r="G61" s="577">
        <f>IF(ISBLANK(F61),"-",(F61/$D$50*$D$47*$B$68)*($B$57/$D$60))</f>
        <v>555.48382066693978</v>
      </c>
      <c r="H61" s="595">
        <f t="shared" si="0"/>
        <v>92.580636777823301</v>
      </c>
      <c r="L61" s="440"/>
    </row>
    <row r="62" spans="1:12" s="3" customFormat="1" ht="26.25" customHeight="1" x14ac:dyDescent="0.4">
      <c r="A62" s="452" t="s">
        <v>93</v>
      </c>
      <c r="B62" s="453">
        <v>1</v>
      </c>
      <c r="C62" s="688"/>
      <c r="D62" s="691"/>
      <c r="E62" s="512">
        <v>3</v>
      </c>
      <c r="F62" s="513">
        <v>3957583</v>
      </c>
      <c r="G62" s="577">
        <f>IF(ISBLANK(F62),"-",(F62/$D$50*$D$47*$B$68)*($B$57/$D$60))</f>
        <v>558.17655174190566</v>
      </c>
      <c r="H62" s="595">
        <f t="shared" si="0"/>
        <v>93.029425290317619</v>
      </c>
      <c r="L62" s="440"/>
    </row>
    <row r="63" spans="1:12" ht="27" customHeight="1" x14ac:dyDescent="0.4">
      <c r="A63" s="452" t="s">
        <v>94</v>
      </c>
      <c r="B63" s="453">
        <v>1</v>
      </c>
      <c r="C63" s="697"/>
      <c r="D63" s="692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95</v>
      </c>
      <c r="B64" s="453">
        <v>1</v>
      </c>
      <c r="C64" s="687" t="s">
        <v>96</v>
      </c>
      <c r="D64" s="690">
        <v>1846.26</v>
      </c>
      <c r="E64" s="510">
        <v>1</v>
      </c>
      <c r="F64" s="511">
        <v>3850808</v>
      </c>
      <c r="G64" s="576">
        <f>IF(ISBLANK(F64),"-",(F64/$D$50*$D$47*$B$68)*($B$57/$D$64))</f>
        <v>542.05507246358638</v>
      </c>
      <c r="H64" s="594">
        <f t="shared" si="0"/>
        <v>90.342512077264388</v>
      </c>
    </row>
    <row r="65" spans="1:8" ht="26.25" customHeight="1" x14ac:dyDescent="0.4">
      <c r="A65" s="452" t="s">
        <v>97</v>
      </c>
      <c r="B65" s="453">
        <v>1</v>
      </c>
      <c r="C65" s="688"/>
      <c r="D65" s="691"/>
      <c r="E65" s="512">
        <v>2</v>
      </c>
      <c r="F65" s="465">
        <v>3874339</v>
      </c>
      <c r="G65" s="577">
        <f>IF(ISBLANK(F65),"-",(F65/$D$50*$D$47*$B$68)*($B$57/$D$64))</f>
        <v>545.36738975131948</v>
      </c>
      <c r="H65" s="595">
        <f t="shared" si="0"/>
        <v>90.894564958553246</v>
      </c>
    </row>
    <row r="66" spans="1:8" ht="26.25" customHeight="1" x14ac:dyDescent="0.4">
      <c r="A66" s="452" t="s">
        <v>98</v>
      </c>
      <c r="B66" s="453">
        <v>1</v>
      </c>
      <c r="C66" s="688"/>
      <c r="D66" s="691"/>
      <c r="E66" s="512">
        <v>3</v>
      </c>
      <c r="F66" s="465">
        <v>3873611</v>
      </c>
      <c r="G66" s="577">
        <f>IF(ISBLANK(F66),"-",(F66/$D$50*$D$47*$B$68)*($B$57/$D$64))</f>
        <v>545.2649135715792</v>
      </c>
      <c r="H66" s="595">
        <f t="shared" si="0"/>
        <v>90.877485595263195</v>
      </c>
    </row>
    <row r="67" spans="1:8" ht="27" customHeight="1" x14ac:dyDescent="0.4">
      <c r="A67" s="452" t="s">
        <v>99</v>
      </c>
      <c r="B67" s="453">
        <v>1</v>
      </c>
      <c r="C67" s="697"/>
      <c r="D67" s="692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100</v>
      </c>
      <c r="B68" s="516">
        <f>(B67/B66)*(B65/B64)*(B63/B62)*(B61/B60)*B59</f>
        <v>2500</v>
      </c>
      <c r="C68" s="687" t="s">
        <v>101</v>
      </c>
      <c r="D68" s="690">
        <v>1843.48</v>
      </c>
      <c r="E68" s="510">
        <v>1</v>
      </c>
      <c r="F68" s="511">
        <v>3949635</v>
      </c>
      <c r="G68" s="576">
        <f>IF(ISBLANK(F68),"-",(F68/$D$50*$D$47*$B$68)*($B$57/$D$68))</f>
        <v>556.80476158907834</v>
      </c>
      <c r="H68" s="595">
        <f t="shared" si="0"/>
        <v>92.800793598179723</v>
      </c>
    </row>
    <row r="69" spans="1:8" ht="27" customHeight="1" x14ac:dyDescent="0.4">
      <c r="A69" s="500" t="s">
        <v>102</v>
      </c>
      <c r="B69" s="517">
        <f>(D47*B68)/B56*B57</f>
        <v>1844.3049999999998</v>
      </c>
      <c r="C69" s="688"/>
      <c r="D69" s="691"/>
      <c r="E69" s="512">
        <v>2</v>
      </c>
      <c r="F69" s="465">
        <v>3930893</v>
      </c>
      <c r="G69" s="577">
        <f>IF(ISBLANK(F69),"-",(F69/$D$50*$D$47*$B$68)*($B$57/$D$68))</f>
        <v>554.1625845672263</v>
      </c>
      <c r="H69" s="595">
        <f t="shared" si="0"/>
        <v>92.360430761204384</v>
      </c>
    </row>
    <row r="70" spans="1:8" ht="26.25" customHeight="1" x14ac:dyDescent="0.4">
      <c r="A70" s="693" t="s">
        <v>75</v>
      </c>
      <c r="B70" s="694"/>
      <c r="C70" s="688"/>
      <c r="D70" s="691"/>
      <c r="E70" s="512">
        <v>3</v>
      </c>
      <c r="F70" s="465">
        <v>3915160</v>
      </c>
      <c r="G70" s="577">
        <f>IF(ISBLANK(F70),"-",(F70/$D$50*$D$47*$B$68)*($B$57/$D$68))</f>
        <v>551.94460510479973</v>
      </c>
      <c r="H70" s="595">
        <f t="shared" si="0"/>
        <v>91.990767517466622</v>
      </c>
    </row>
    <row r="71" spans="1:8" ht="27" customHeight="1" x14ac:dyDescent="0.4">
      <c r="A71" s="695"/>
      <c r="B71" s="696"/>
      <c r="C71" s="689"/>
      <c r="D71" s="692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68</v>
      </c>
      <c r="G72" s="582">
        <f>AVERAGE(G60:G71)</f>
        <v>551.89382697204451</v>
      </c>
      <c r="H72" s="597">
        <f>AVERAGE(H60:H71)</f>
        <v>91.98230449534077</v>
      </c>
    </row>
    <row r="73" spans="1:8" ht="26.25" customHeight="1" x14ac:dyDescent="0.4">
      <c r="C73" s="518"/>
      <c r="D73" s="518"/>
      <c r="E73" s="518"/>
      <c r="F73" s="521" t="s">
        <v>81</v>
      </c>
      <c r="G73" s="581">
        <f>STDEV(G60:G71)/G72</f>
        <v>1.1089708645692205E-2</v>
      </c>
      <c r="H73" s="581">
        <f>STDEV(H60:H71)/H72</f>
        <v>1.1089708645692255E-2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103</v>
      </c>
      <c r="B76" s="525" t="s">
        <v>104</v>
      </c>
      <c r="C76" s="674" t="str">
        <f>B26</f>
        <v xml:space="preserve">Efavirenz </v>
      </c>
      <c r="D76" s="674"/>
      <c r="E76" s="526" t="s">
        <v>105</v>
      </c>
      <c r="F76" s="526"/>
      <c r="G76" s="613">
        <f>H72</f>
        <v>91.98230449534077</v>
      </c>
      <c r="H76" s="528"/>
    </row>
    <row r="77" spans="1:8" ht="18.75" x14ac:dyDescent="0.3">
      <c r="A77" s="435" t="s">
        <v>106</v>
      </c>
      <c r="B77" s="435" t="s">
        <v>107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708" t="str">
        <f>B26</f>
        <v xml:space="preserve">Efavirenz </v>
      </c>
      <c r="C79" s="708"/>
    </row>
    <row r="80" spans="1:8" ht="26.25" customHeight="1" x14ac:dyDescent="0.4">
      <c r="A80" s="437" t="s">
        <v>45</v>
      </c>
      <c r="B80" s="708" t="str">
        <f>B27</f>
        <v>E15-6</v>
      </c>
      <c r="C80" s="708"/>
    </row>
    <row r="81" spans="1:12" ht="27" customHeight="1" x14ac:dyDescent="0.4">
      <c r="A81" s="437" t="s">
        <v>6</v>
      </c>
      <c r="B81" s="529">
        <v>97.21</v>
      </c>
    </row>
    <row r="82" spans="1:12" s="3" customFormat="1" ht="27" customHeight="1" x14ac:dyDescent="0.4">
      <c r="A82" s="437" t="s">
        <v>46</v>
      </c>
      <c r="B82" s="439">
        <v>0</v>
      </c>
      <c r="C82" s="676" t="s">
        <v>47</v>
      </c>
      <c r="D82" s="677"/>
      <c r="E82" s="677"/>
      <c r="F82" s="677"/>
      <c r="G82" s="678"/>
      <c r="I82" s="440"/>
      <c r="J82" s="440"/>
      <c r="K82" s="440"/>
      <c r="L82" s="440"/>
    </row>
    <row r="83" spans="1:12" s="3" customFormat="1" ht="19.5" customHeight="1" x14ac:dyDescent="0.3">
      <c r="A83" s="437" t="s">
        <v>48</v>
      </c>
      <c r="B83" s="441">
        <f>B81-B82</f>
        <v>97.21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49</v>
      </c>
      <c r="B84" s="444">
        <v>1</v>
      </c>
      <c r="C84" s="679" t="s">
        <v>108</v>
      </c>
      <c r="D84" s="680"/>
      <c r="E84" s="680"/>
      <c r="F84" s="680"/>
      <c r="G84" s="680"/>
      <c r="H84" s="681"/>
      <c r="I84" s="440"/>
      <c r="J84" s="440"/>
      <c r="K84" s="440"/>
      <c r="L84" s="440"/>
    </row>
    <row r="85" spans="1:12" s="3" customFormat="1" ht="27" customHeight="1" x14ac:dyDescent="0.4">
      <c r="A85" s="437" t="s">
        <v>51</v>
      </c>
      <c r="B85" s="444">
        <v>1</v>
      </c>
      <c r="C85" s="679" t="s">
        <v>109</v>
      </c>
      <c r="D85" s="680"/>
      <c r="E85" s="680"/>
      <c r="F85" s="680"/>
      <c r="G85" s="680"/>
      <c r="H85" s="681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53</v>
      </c>
      <c r="B87" s="449">
        <f>B84/B85</f>
        <v>1</v>
      </c>
      <c r="C87" s="427" t="s">
        <v>54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55</v>
      </c>
      <c r="B89" s="451">
        <v>50</v>
      </c>
      <c r="D89" s="530" t="s">
        <v>56</v>
      </c>
      <c r="E89" s="531"/>
      <c r="F89" s="682" t="s">
        <v>57</v>
      </c>
      <c r="G89" s="683"/>
    </row>
    <row r="90" spans="1:12" ht="27" customHeight="1" x14ac:dyDescent="0.4">
      <c r="A90" s="452" t="s">
        <v>58</v>
      </c>
      <c r="B90" s="453">
        <v>1</v>
      </c>
      <c r="C90" s="532" t="s">
        <v>59</v>
      </c>
      <c r="D90" s="455" t="s">
        <v>60</v>
      </c>
      <c r="E90" s="456" t="s">
        <v>61</v>
      </c>
      <c r="F90" s="455" t="s">
        <v>60</v>
      </c>
      <c r="G90" s="533" t="s">
        <v>61</v>
      </c>
      <c r="I90" s="458" t="s">
        <v>62</v>
      </c>
    </row>
    <row r="91" spans="1:12" ht="26.25" customHeight="1" x14ac:dyDescent="0.4">
      <c r="A91" s="452" t="s">
        <v>63</v>
      </c>
      <c r="B91" s="453">
        <v>1</v>
      </c>
      <c r="C91" s="534">
        <v>1</v>
      </c>
      <c r="D91" s="460">
        <v>2093756</v>
      </c>
      <c r="E91" s="461">
        <f>IF(ISBLANK(D91),"-",$D$101/$D$98*D91)</f>
        <v>2269597.8603891567</v>
      </c>
      <c r="F91" s="460">
        <v>2167442</v>
      </c>
      <c r="G91" s="462">
        <f>IF(ISBLANK(F91),"-",$D$101/$F$98*F91)</f>
        <v>2245366.7805074779</v>
      </c>
      <c r="I91" s="463"/>
    </row>
    <row r="92" spans="1:12" ht="26.25" customHeight="1" x14ac:dyDescent="0.4">
      <c r="A92" s="452" t="s">
        <v>64</v>
      </c>
      <c r="B92" s="453">
        <v>1</v>
      </c>
      <c r="C92" s="519">
        <v>2</v>
      </c>
      <c r="D92" s="465">
        <v>2095309</v>
      </c>
      <c r="E92" s="466">
        <f>IF(ISBLANK(D92),"-",$D$101/$D$98*D92)</f>
        <v>2271281.2874347079</v>
      </c>
      <c r="F92" s="465">
        <v>2167529</v>
      </c>
      <c r="G92" s="467">
        <f>IF(ISBLANK(F92),"-",$D$101/$F$98*F92)</f>
        <v>2245456.9083678331</v>
      </c>
      <c r="I92" s="684">
        <f>ABS((F96/D96*D95)-F95)/D95</f>
        <v>1.2160740467381385E-2</v>
      </c>
    </row>
    <row r="93" spans="1:12" ht="26.25" customHeight="1" x14ac:dyDescent="0.4">
      <c r="A93" s="452" t="s">
        <v>65</v>
      </c>
      <c r="B93" s="453">
        <v>1</v>
      </c>
      <c r="C93" s="519">
        <v>3</v>
      </c>
      <c r="D93" s="465">
        <v>2095987</v>
      </c>
      <c r="E93" s="466">
        <f>IF(ISBLANK(D93),"-",$D$101/$D$98*D93)</f>
        <v>2272016.2285402347</v>
      </c>
      <c r="F93" s="465">
        <v>2165054</v>
      </c>
      <c r="G93" s="467">
        <f>IF(ISBLANK(F93),"-",$D$101/$F$98*F93)</f>
        <v>2242892.9261335884</v>
      </c>
      <c r="I93" s="684"/>
    </row>
    <row r="94" spans="1:12" ht="27" customHeight="1" x14ac:dyDescent="0.4">
      <c r="A94" s="452" t="s">
        <v>66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67</v>
      </c>
      <c r="B95" s="453">
        <v>1</v>
      </c>
      <c r="C95" s="537" t="s">
        <v>68</v>
      </c>
      <c r="D95" s="538">
        <f>AVERAGE(D91:D94)</f>
        <v>2095017.3333333333</v>
      </c>
      <c r="E95" s="476">
        <f>AVERAGE(E91:E94)</f>
        <v>2270965.1254546996</v>
      </c>
      <c r="F95" s="539">
        <f>AVERAGE(F91:F94)</f>
        <v>2166675</v>
      </c>
      <c r="G95" s="540">
        <f>AVERAGE(G91:G94)</f>
        <v>2244572.2050029668</v>
      </c>
    </row>
    <row r="96" spans="1:12" ht="26.25" customHeight="1" x14ac:dyDescent="0.4">
      <c r="A96" s="452" t="s">
        <v>69</v>
      </c>
      <c r="B96" s="438">
        <v>1</v>
      </c>
      <c r="C96" s="541" t="s">
        <v>110</v>
      </c>
      <c r="D96" s="542">
        <v>28.47</v>
      </c>
      <c r="E96" s="468"/>
      <c r="F96" s="480">
        <v>29.79</v>
      </c>
    </row>
    <row r="97" spans="1:10" ht="26.25" customHeight="1" x14ac:dyDescent="0.4">
      <c r="A97" s="452" t="s">
        <v>71</v>
      </c>
      <c r="B97" s="438">
        <v>1</v>
      </c>
      <c r="C97" s="543" t="s">
        <v>111</v>
      </c>
      <c r="D97" s="544">
        <f>D96*$B$87</f>
        <v>28.47</v>
      </c>
      <c r="E97" s="483"/>
      <c r="F97" s="482">
        <f>F96*$B$87</f>
        <v>29.79</v>
      </c>
    </row>
    <row r="98" spans="1:10" ht="19.5" customHeight="1" x14ac:dyDescent="0.3">
      <c r="A98" s="452" t="s">
        <v>73</v>
      </c>
      <c r="B98" s="545">
        <f>(B97/B96)*(B95/B94)*(B93/B92)*(B91/B90)*B89</f>
        <v>50</v>
      </c>
      <c r="C98" s="543" t="s">
        <v>112</v>
      </c>
      <c r="D98" s="546">
        <f>D97*$B$83/100</f>
        <v>27.675686999999996</v>
      </c>
      <c r="E98" s="486"/>
      <c r="F98" s="485">
        <f>F97*$B$83/100</f>
        <v>28.958858999999997</v>
      </c>
    </row>
    <row r="99" spans="1:10" ht="19.5" customHeight="1" x14ac:dyDescent="0.3">
      <c r="A99" s="670" t="s">
        <v>75</v>
      </c>
      <c r="B99" s="685"/>
      <c r="C99" s="543" t="s">
        <v>113</v>
      </c>
      <c r="D99" s="547">
        <f>D98/$B$98</f>
        <v>0.55351373999999998</v>
      </c>
      <c r="E99" s="486"/>
      <c r="F99" s="489">
        <f>F98/$B$98</f>
        <v>0.57917717999999996</v>
      </c>
      <c r="G99" s="548"/>
      <c r="H99" s="478"/>
    </row>
    <row r="100" spans="1:10" ht="19.5" customHeight="1" x14ac:dyDescent="0.3">
      <c r="A100" s="672"/>
      <c r="B100" s="686"/>
      <c r="C100" s="543" t="s">
        <v>77</v>
      </c>
      <c r="D100" s="549">
        <f>$B$56/$B$116</f>
        <v>0.6</v>
      </c>
      <c r="F100" s="494"/>
      <c r="G100" s="550"/>
      <c r="H100" s="478"/>
    </row>
    <row r="101" spans="1:10" ht="18.75" x14ac:dyDescent="0.3">
      <c r="C101" s="543" t="s">
        <v>78</v>
      </c>
      <c r="D101" s="544">
        <f>D100*$B$98</f>
        <v>30</v>
      </c>
      <c r="F101" s="494"/>
      <c r="G101" s="548"/>
      <c r="H101" s="478"/>
    </row>
    <row r="102" spans="1:10" ht="19.5" customHeight="1" x14ac:dyDescent="0.3">
      <c r="C102" s="551" t="s">
        <v>79</v>
      </c>
      <c r="D102" s="552">
        <f>D101/B34</f>
        <v>30</v>
      </c>
      <c r="F102" s="498"/>
      <c r="G102" s="548"/>
      <c r="H102" s="478"/>
      <c r="J102" s="553"/>
    </row>
    <row r="103" spans="1:10" ht="18.75" x14ac:dyDescent="0.3">
      <c r="C103" s="554" t="s">
        <v>114</v>
      </c>
      <c r="D103" s="555">
        <f>AVERAGE(E91:E94,G91:G94)</f>
        <v>2257768.665228833</v>
      </c>
      <c r="F103" s="498"/>
      <c r="G103" s="556"/>
      <c r="H103" s="478"/>
      <c r="J103" s="557"/>
    </row>
    <row r="104" spans="1:10" ht="18.75" x14ac:dyDescent="0.3">
      <c r="C104" s="521" t="s">
        <v>81</v>
      </c>
      <c r="D104" s="558">
        <f>STDEV(E91:E94,G91:G94)/D103</f>
        <v>6.4251333354940947E-3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115</v>
      </c>
      <c r="B107" s="451">
        <v>1000</v>
      </c>
      <c r="C107" s="598" t="s">
        <v>116</v>
      </c>
      <c r="D107" s="598" t="s">
        <v>60</v>
      </c>
      <c r="E107" s="598" t="s">
        <v>117</v>
      </c>
      <c r="F107" s="560" t="s">
        <v>118</v>
      </c>
    </row>
    <row r="108" spans="1:10" ht="26.25" customHeight="1" x14ac:dyDescent="0.4">
      <c r="A108" s="452" t="s">
        <v>119</v>
      </c>
      <c r="B108" s="453">
        <v>1</v>
      </c>
      <c r="C108" s="603">
        <v>1</v>
      </c>
      <c r="D108" s="604">
        <v>2184096</v>
      </c>
      <c r="E108" s="578">
        <f t="shared" ref="E108:E113" si="1">IF(ISBLANK(D108),"-",D108/$D$103*$D$100*$B$116)</f>
        <v>580.42155522039741</v>
      </c>
      <c r="F108" s="605">
        <f t="shared" ref="F108:F113" si="2">IF(ISBLANK(D108), "-", (E108/$B$56)*100)</f>
        <v>96.736925870066244</v>
      </c>
    </row>
    <row r="109" spans="1:10" ht="26.25" customHeight="1" x14ac:dyDescent="0.4">
      <c r="A109" s="452" t="s">
        <v>92</v>
      </c>
      <c r="B109" s="453">
        <v>1</v>
      </c>
      <c r="C109" s="599">
        <v>2</v>
      </c>
      <c r="D109" s="601">
        <v>2169082</v>
      </c>
      <c r="E109" s="579">
        <f t="shared" si="1"/>
        <v>576.43159817176991</v>
      </c>
      <c r="F109" s="606">
        <f t="shared" si="2"/>
        <v>96.071933028628322</v>
      </c>
    </row>
    <row r="110" spans="1:10" ht="26.25" customHeight="1" x14ac:dyDescent="0.4">
      <c r="A110" s="452" t="s">
        <v>93</v>
      </c>
      <c r="B110" s="453">
        <v>1</v>
      </c>
      <c r="C110" s="599">
        <v>3</v>
      </c>
      <c r="D110" s="601">
        <v>2172418</v>
      </c>
      <c r="E110" s="579">
        <f t="shared" si="1"/>
        <v>577.31813718297417</v>
      </c>
      <c r="F110" s="606">
        <f t="shared" si="2"/>
        <v>96.2196895304957</v>
      </c>
    </row>
    <row r="111" spans="1:10" ht="26.25" customHeight="1" x14ac:dyDescent="0.4">
      <c r="A111" s="452" t="s">
        <v>94</v>
      </c>
      <c r="B111" s="453">
        <v>1</v>
      </c>
      <c r="C111" s="599">
        <v>4</v>
      </c>
      <c r="D111" s="601">
        <v>2177480</v>
      </c>
      <c r="E111" s="579">
        <f t="shared" si="1"/>
        <v>578.66335914781723</v>
      </c>
      <c r="F111" s="606">
        <f t="shared" si="2"/>
        <v>96.443893191302877</v>
      </c>
    </row>
    <row r="112" spans="1:10" ht="26.25" customHeight="1" x14ac:dyDescent="0.4">
      <c r="A112" s="452" t="s">
        <v>95</v>
      </c>
      <c r="B112" s="453">
        <v>1</v>
      </c>
      <c r="C112" s="599">
        <v>5</v>
      </c>
      <c r="D112" s="601">
        <v>2178699</v>
      </c>
      <c r="E112" s="579">
        <f t="shared" si="1"/>
        <v>578.9873073056882</v>
      </c>
      <c r="F112" s="606">
        <f t="shared" si="2"/>
        <v>96.497884550948029</v>
      </c>
    </row>
    <row r="113" spans="1:10" ht="27" customHeight="1" x14ac:dyDescent="0.4">
      <c r="A113" s="452" t="s">
        <v>97</v>
      </c>
      <c r="B113" s="453">
        <v>1</v>
      </c>
      <c r="C113" s="600">
        <v>6</v>
      </c>
      <c r="D113" s="602">
        <v>2178481</v>
      </c>
      <c r="E113" s="580">
        <f t="shared" si="1"/>
        <v>578.92937400099936</v>
      </c>
      <c r="F113" s="607">
        <f t="shared" si="2"/>
        <v>96.488229000166555</v>
      </c>
    </row>
    <row r="114" spans="1:10" ht="27" customHeight="1" x14ac:dyDescent="0.4">
      <c r="A114" s="452" t="s">
        <v>98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99</v>
      </c>
      <c r="B115" s="453">
        <v>1</v>
      </c>
      <c r="C115" s="561"/>
      <c r="D115" s="585" t="s">
        <v>68</v>
      </c>
      <c r="E115" s="587">
        <f>AVERAGE(E108:E113)</f>
        <v>578.45855517160771</v>
      </c>
      <c r="F115" s="609">
        <f>AVERAGE(F108:F113)</f>
        <v>96.409759195267952</v>
      </c>
    </row>
    <row r="116" spans="1:10" ht="27" customHeight="1" x14ac:dyDescent="0.4">
      <c r="A116" s="452" t="s">
        <v>100</v>
      </c>
      <c r="B116" s="484">
        <f>(B115/B114)*(B113/B112)*(B111/B110)*(B109/B108)*B107</f>
        <v>1000</v>
      </c>
      <c r="C116" s="562"/>
      <c r="D116" s="586" t="s">
        <v>81</v>
      </c>
      <c r="E116" s="584">
        <f>STDEV(E108:E113)/E115</f>
        <v>2.4209253963684012E-3</v>
      </c>
      <c r="F116" s="563">
        <f>STDEV(F108:F113)/F115</f>
        <v>2.4209253963684008E-3</v>
      </c>
      <c r="I116" s="426"/>
    </row>
    <row r="117" spans="1:10" ht="27" customHeight="1" x14ac:dyDescent="0.4">
      <c r="A117" s="670" t="s">
        <v>75</v>
      </c>
      <c r="B117" s="671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72"/>
      <c r="B118" s="673"/>
      <c r="C118" s="426"/>
      <c r="D118" s="588"/>
      <c r="E118" s="698" t="s">
        <v>120</v>
      </c>
      <c r="F118" s="699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121</v>
      </c>
      <c r="E119" s="591">
        <f>MIN(E108:E113)</f>
        <v>576.43159817176991</v>
      </c>
      <c r="F119" s="610">
        <f>MIN(F108:F113)</f>
        <v>96.071933028628322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122</v>
      </c>
      <c r="E120" s="592">
        <f>MAX(E108:E113)</f>
        <v>580.42155522039741</v>
      </c>
      <c r="F120" s="611">
        <f>MAX(F108:F113)</f>
        <v>96.736925870066244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103</v>
      </c>
      <c r="B124" s="525" t="s">
        <v>123</v>
      </c>
      <c r="C124" s="674" t="str">
        <f>B26</f>
        <v xml:space="preserve">Efavirenz </v>
      </c>
      <c r="D124" s="674"/>
      <c r="E124" s="526" t="s">
        <v>124</v>
      </c>
      <c r="F124" s="526"/>
      <c r="G124" s="612">
        <f>F115</f>
        <v>96.409759195267952</v>
      </c>
      <c r="H124" s="426"/>
      <c r="I124" s="426"/>
    </row>
    <row r="125" spans="1:10" ht="45.75" customHeight="1" x14ac:dyDescent="0.65">
      <c r="A125" s="436"/>
      <c r="B125" s="525" t="s">
        <v>125</v>
      </c>
      <c r="C125" s="437" t="s">
        <v>126</v>
      </c>
      <c r="D125" s="612">
        <f>MIN(F108:F113)</f>
        <v>96.071933028628322</v>
      </c>
      <c r="E125" s="537" t="s">
        <v>127</v>
      </c>
      <c r="F125" s="612">
        <f>MAX(F108:F113)</f>
        <v>96.736925870066244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75" t="s">
        <v>23</v>
      </c>
      <c r="C127" s="675"/>
      <c r="E127" s="532" t="s">
        <v>24</v>
      </c>
      <c r="F127" s="567"/>
      <c r="G127" s="675" t="s">
        <v>25</v>
      </c>
      <c r="H127" s="675"/>
    </row>
    <row r="128" spans="1:10" ht="69.95" customHeight="1" x14ac:dyDescent="0.3">
      <c r="A128" s="568" t="s">
        <v>26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27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Efavirenz</vt:lpstr>
      <vt:lpstr>SST TDF</vt:lpstr>
      <vt:lpstr>SST Lamivudine</vt:lpstr>
      <vt:lpstr>Uniformity</vt:lpstr>
      <vt:lpstr>Tenofovir Disoproxil Fumarate</vt:lpstr>
      <vt:lpstr>Lamivudine</vt:lpstr>
      <vt:lpstr>Efavirenz</vt:lpstr>
      <vt:lpstr>Efavirenz!Print_Area</vt:lpstr>
      <vt:lpstr>Lamivudine!Print_Area</vt:lpstr>
      <vt:lpstr>'SST Efavirenz'!Print_Area</vt:lpstr>
      <vt:lpstr>'SST Lamivudine'!Print_Area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2017-09-28T12:53:46Z</cp:lastPrinted>
  <dcterms:created xsi:type="dcterms:W3CDTF">2005-07-05T10:19:27Z</dcterms:created>
  <dcterms:modified xsi:type="dcterms:W3CDTF">2017-09-29T13:09:59Z</dcterms:modified>
</cp:coreProperties>
</file>