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6"/>
  </bookViews>
  <sheets>
    <sheet name="SST TDF" sheetId="6" r:id="rId1"/>
    <sheet name="SST LAM" sheetId="7" r:id="rId2"/>
    <sheet name="SST EFV" sheetId="8" r:id="rId3"/>
    <sheet name="Uniformity" sheetId="2" r:id="rId4"/>
    <sheet name="Tenofovir Disoproxil Fumarate" sheetId="3" r:id="rId5"/>
    <sheet name="Lamivudine" sheetId="4" r:id="rId6"/>
    <sheet name="Efavirenz" sheetId="5" r:id="rId7"/>
  </sheets>
  <definedNames>
    <definedName name="_xlnm.Print_Area" localSheetId="6">Efavirenz!$A$1:$I$128</definedName>
    <definedName name="_xlnm.Print_Area" localSheetId="5">Lamivudine!$A$1:$I$129</definedName>
    <definedName name="_xlnm.Print_Area" localSheetId="4">'Tenofovir Disoproxil Fumarate'!$A$1:$I$129</definedName>
    <definedName name="_xlnm.Print_Area" localSheetId="3">Uniformity!$A$12:$L$54</definedName>
  </definedNames>
  <calcPr calcId="145621"/>
</workbook>
</file>

<file path=xl/calcChain.xml><?xml version="1.0" encoding="utf-8"?>
<calcChain xmlns="http://schemas.openxmlformats.org/spreadsheetml/2006/main">
  <c r="B53" i="8" l="1"/>
  <c r="B52" i="8"/>
  <c r="F51" i="8"/>
  <c r="E51" i="8"/>
  <c r="D51" i="8"/>
  <c r="C51" i="8"/>
  <c r="B51" i="8"/>
  <c r="B32" i="8"/>
  <c r="F30" i="8"/>
  <c r="E30" i="8"/>
  <c r="D30" i="8"/>
  <c r="C30" i="8"/>
  <c r="B30" i="8"/>
  <c r="B31" i="8" s="1"/>
  <c r="B21" i="8"/>
  <c r="E51" i="6"/>
  <c r="B42" i="6"/>
  <c r="B53" i="7" l="1"/>
  <c r="E51" i="7"/>
  <c r="D51" i="7"/>
  <c r="C51" i="7"/>
  <c r="B51" i="7"/>
  <c r="B52" i="7" s="1"/>
  <c r="B32" i="7"/>
  <c r="E30" i="7"/>
  <c r="D30" i="7"/>
  <c r="C30" i="7"/>
  <c r="B30" i="7"/>
  <c r="B31" i="7" s="1"/>
  <c r="B21" i="7"/>
  <c r="B53" i="6"/>
  <c r="F51" i="6"/>
  <c r="D51" i="6"/>
  <c r="C51" i="6"/>
  <c r="B51" i="6"/>
  <c r="B52" i="6" s="1"/>
  <c r="B32" i="6"/>
  <c r="B31" i="6"/>
  <c r="F30" i="6"/>
  <c r="E30" i="6"/>
  <c r="D30" i="6"/>
  <c r="C30" i="6"/>
  <c r="B30" i="6"/>
  <c r="B21" i="6"/>
  <c r="C124" i="5" l="1"/>
  <c r="B116" i="5"/>
  <c r="D100" i="5" s="1"/>
  <c r="B98" i="5"/>
  <c r="F95" i="5"/>
  <c r="I92" i="5" s="1"/>
  <c r="D95" i="5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D44" i="5"/>
  <c r="F42" i="5"/>
  <c r="D42" i="5"/>
  <c r="I39" i="5" s="1"/>
  <c r="B34" i="5"/>
  <c r="F44" i="5" s="1"/>
  <c r="B30" i="5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 s="1"/>
  <c r="B98" i="3"/>
  <c r="F95" i="3"/>
  <c r="D95" i="3"/>
  <c r="I92" i="3" s="1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D50" i="2"/>
  <c r="B49" i="2"/>
  <c r="C46" i="2"/>
  <c r="B57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I92" i="4" l="1"/>
  <c r="D101" i="5"/>
  <c r="D102" i="5" s="1"/>
  <c r="F97" i="5"/>
  <c r="F98" i="5" s="1"/>
  <c r="B69" i="5"/>
  <c r="F45" i="5"/>
  <c r="F46" i="5" s="1"/>
  <c r="D98" i="5"/>
  <c r="D99" i="5" s="1"/>
  <c r="D45" i="5"/>
  <c r="D46" i="5" s="1"/>
  <c r="D101" i="4"/>
  <c r="D102" i="4" s="1"/>
  <c r="D97" i="4"/>
  <c r="D98" i="4" s="1"/>
  <c r="I39" i="4"/>
  <c r="D45" i="4"/>
  <c r="D46" i="4" s="1"/>
  <c r="D101" i="3"/>
  <c r="D102" i="3" s="1"/>
  <c r="F97" i="3"/>
  <c r="F98" i="3" s="1"/>
  <c r="I39" i="3"/>
  <c r="F46" i="3"/>
  <c r="D44" i="3"/>
  <c r="D45" i="3" s="1"/>
  <c r="D98" i="3"/>
  <c r="D99" i="3" s="1"/>
  <c r="G39" i="3"/>
  <c r="G40" i="3"/>
  <c r="D49" i="3"/>
  <c r="G38" i="3"/>
  <c r="G41" i="3"/>
  <c r="F98" i="4"/>
  <c r="F99" i="4" s="1"/>
  <c r="E41" i="5"/>
  <c r="D49" i="5"/>
  <c r="G41" i="5"/>
  <c r="D49" i="4"/>
  <c r="E92" i="3"/>
  <c r="C50" i="2"/>
  <c r="F44" i="4"/>
  <c r="F45" i="4" s="1"/>
  <c r="F46" i="4" s="1"/>
  <c r="B57" i="4"/>
  <c r="B69" i="4" s="1"/>
  <c r="C49" i="2"/>
  <c r="D49" i="2"/>
  <c r="B57" i="3"/>
  <c r="B69" i="3" s="1"/>
  <c r="F99" i="5" l="1"/>
  <c r="G93" i="5"/>
  <c r="E91" i="5"/>
  <c r="E38" i="5"/>
  <c r="E42" i="5" s="1"/>
  <c r="E39" i="5"/>
  <c r="E40" i="5"/>
  <c r="G38" i="5"/>
  <c r="G40" i="5"/>
  <c r="G39" i="5"/>
  <c r="G91" i="5"/>
  <c r="G94" i="5"/>
  <c r="E93" i="5"/>
  <c r="G92" i="5"/>
  <c r="E92" i="5"/>
  <c r="E94" i="5"/>
  <c r="G91" i="4"/>
  <c r="D99" i="4"/>
  <c r="E93" i="4"/>
  <c r="E39" i="4"/>
  <c r="E41" i="4"/>
  <c r="E38" i="4"/>
  <c r="E40" i="4"/>
  <c r="G39" i="4"/>
  <c r="G38" i="4"/>
  <c r="G92" i="4"/>
  <c r="E91" i="3"/>
  <c r="F99" i="3"/>
  <c r="G92" i="3"/>
  <c r="G91" i="3"/>
  <c r="G94" i="3"/>
  <c r="E93" i="3"/>
  <c r="E94" i="3"/>
  <c r="D46" i="3"/>
  <c r="E41" i="3"/>
  <c r="E38" i="3"/>
  <c r="G42" i="3"/>
  <c r="E39" i="3"/>
  <c r="G93" i="3"/>
  <c r="E40" i="3"/>
  <c r="E91" i="4"/>
  <c r="E92" i="4"/>
  <c r="E94" i="4"/>
  <c r="G40" i="4"/>
  <c r="G41" i="4"/>
  <c r="G94" i="4"/>
  <c r="G93" i="4"/>
  <c r="G95" i="4" s="1"/>
  <c r="D103" i="5" l="1"/>
  <c r="D104" i="5" s="1"/>
  <c r="E95" i="5"/>
  <c r="D50" i="5"/>
  <c r="G70" i="5" s="1"/>
  <c r="H70" i="5" s="1"/>
  <c r="G42" i="5"/>
  <c r="D52" i="5"/>
  <c r="D105" i="5"/>
  <c r="G95" i="5"/>
  <c r="E42" i="4"/>
  <c r="G42" i="4"/>
  <c r="D52" i="4"/>
  <c r="D50" i="4"/>
  <c r="G71" i="4" s="1"/>
  <c r="H71" i="4" s="1"/>
  <c r="D105" i="3"/>
  <c r="G95" i="3"/>
  <c r="D103" i="3"/>
  <c r="E113" i="3" s="1"/>
  <c r="F113" i="3" s="1"/>
  <c r="E95" i="3"/>
  <c r="D50" i="3"/>
  <c r="G65" i="3" s="1"/>
  <c r="H65" i="3" s="1"/>
  <c r="D52" i="3"/>
  <c r="E42" i="3"/>
  <c r="G68" i="4"/>
  <c r="H68" i="4" s="1"/>
  <c r="G66" i="4"/>
  <c r="H66" i="4" s="1"/>
  <c r="G64" i="4"/>
  <c r="H64" i="4" s="1"/>
  <c r="D51" i="4"/>
  <c r="G70" i="4"/>
  <c r="H70" i="4" s="1"/>
  <c r="G63" i="4"/>
  <c r="H63" i="4" s="1"/>
  <c r="G61" i="4"/>
  <c r="H61" i="4" s="1"/>
  <c r="D51" i="3"/>
  <c r="G70" i="3"/>
  <c r="H70" i="3" s="1"/>
  <c r="G67" i="3"/>
  <c r="H67" i="3" s="1"/>
  <c r="G68" i="3"/>
  <c r="H68" i="3" s="1"/>
  <c r="G69" i="3"/>
  <c r="H69" i="3" s="1"/>
  <c r="G64" i="3"/>
  <c r="H64" i="3" s="1"/>
  <c r="G63" i="5"/>
  <c r="H63" i="5" s="1"/>
  <c r="E95" i="4"/>
  <c r="D105" i="4"/>
  <c r="D103" i="4"/>
  <c r="E113" i="5"/>
  <c r="F113" i="5" s="1"/>
  <c r="E111" i="5"/>
  <c r="F111" i="5" s="1"/>
  <c r="E109" i="5"/>
  <c r="F109" i="5" s="1"/>
  <c r="E112" i="5"/>
  <c r="F112" i="5" s="1"/>
  <c r="E110" i="5"/>
  <c r="F110" i="5" s="1"/>
  <c r="E108" i="5"/>
  <c r="G64" i="5" l="1"/>
  <c r="H64" i="5" s="1"/>
  <c r="G60" i="5"/>
  <c r="G71" i="5"/>
  <c r="H71" i="5" s="1"/>
  <c r="G67" i="5"/>
  <c r="H67" i="5" s="1"/>
  <c r="G69" i="5"/>
  <c r="H69" i="5" s="1"/>
  <c r="G65" i="5"/>
  <c r="H65" i="5" s="1"/>
  <c r="G62" i="5"/>
  <c r="H62" i="5" s="1"/>
  <c r="G68" i="5"/>
  <c r="H68" i="5" s="1"/>
  <c r="D51" i="5"/>
  <c r="G66" i="5"/>
  <c r="H66" i="5" s="1"/>
  <c r="G61" i="5"/>
  <c r="H61" i="5" s="1"/>
  <c r="G65" i="4"/>
  <c r="H65" i="4" s="1"/>
  <c r="G60" i="4"/>
  <c r="H60" i="4" s="1"/>
  <c r="G69" i="4"/>
  <c r="H69" i="4" s="1"/>
  <c r="G67" i="4"/>
  <c r="H67" i="4" s="1"/>
  <c r="G62" i="4"/>
  <c r="H62" i="4" s="1"/>
  <c r="D104" i="3"/>
  <c r="E109" i="3"/>
  <c r="F109" i="3" s="1"/>
  <c r="E110" i="3"/>
  <c r="F110" i="3" s="1"/>
  <c r="E108" i="3"/>
  <c r="F108" i="3" s="1"/>
  <c r="E111" i="3"/>
  <c r="F111" i="3" s="1"/>
  <c r="E112" i="3"/>
  <c r="F112" i="3" s="1"/>
  <c r="G60" i="3"/>
  <c r="H60" i="3" s="1"/>
  <c r="G61" i="3"/>
  <c r="H61" i="3" s="1"/>
  <c r="G66" i="3"/>
  <c r="H66" i="3" s="1"/>
  <c r="G63" i="3"/>
  <c r="H63" i="3" s="1"/>
  <c r="G62" i="3"/>
  <c r="H62" i="3" s="1"/>
  <c r="G71" i="3"/>
  <c r="H71" i="3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E120" i="5"/>
  <c r="E117" i="5"/>
  <c r="F108" i="5"/>
  <c r="E115" i="5"/>
  <c r="E116" i="5" s="1"/>
  <c r="E119" i="5"/>
  <c r="G72" i="5" l="1"/>
  <c r="G73" i="5" s="1"/>
  <c r="H60" i="5"/>
  <c r="H74" i="5" s="1"/>
  <c r="G74" i="5"/>
  <c r="G72" i="4"/>
  <c r="G73" i="4" s="1"/>
  <c r="G74" i="4"/>
  <c r="E117" i="3"/>
  <c r="E119" i="3"/>
  <c r="E120" i="3"/>
  <c r="E115" i="3"/>
  <c r="E116" i="3" s="1"/>
  <c r="G74" i="3"/>
  <c r="G72" i="3"/>
  <c r="G73" i="3" s="1"/>
  <c r="H74" i="4"/>
  <c r="H72" i="4"/>
  <c r="H74" i="3"/>
  <c r="H72" i="3"/>
  <c r="F125" i="3"/>
  <c r="F120" i="3"/>
  <c r="F117" i="3"/>
  <c r="D125" i="3"/>
  <c r="F115" i="3"/>
  <c r="F119" i="3"/>
  <c r="E115" i="4"/>
  <c r="E116" i="4" s="1"/>
  <c r="E119" i="4"/>
  <c r="E120" i="4"/>
  <c r="E117" i="4"/>
  <c r="F108" i="4"/>
  <c r="F125" i="5"/>
  <c r="F120" i="5"/>
  <c r="F117" i="5"/>
  <c r="D125" i="5"/>
  <c r="F115" i="5"/>
  <c r="F119" i="5"/>
  <c r="H72" i="5" l="1"/>
  <c r="G76" i="5" s="1"/>
  <c r="G124" i="5"/>
  <c r="F116" i="5"/>
  <c r="G76" i="4"/>
  <c r="H73" i="4"/>
  <c r="G76" i="3"/>
  <c r="H73" i="3"/>
  <c r="F119" i="4"/>
  <c r="F125" i="4"/>
  <c r="F120" i="4"/>
  <c r="F117" i="4"/>
  <c r="D125" i="4"/>
  <c r="F115" i="4"/>
  <c r="G124" i="3"/>
  <c r="F116" i="3"/>
  <c r="H73" i="5" l="1"/>
  <c r="G124" i="4"/>
  <c r="F116" i="4"/>
</calcChain>
</file>

<file path=xl/sharedStrings.xml><?xml version="1.0" encoding="utf-8"?>
<sst xmlns="http://schemas.openxmlformats.org/spreadsheetml/2006/main" count="669" uniqueCount="146">
  <si>
    <t>HPLC System Suitability Report</t>
  </si>
  <si>
    <t>Analysis Data</t>
  </si>
  <si>
    <t>Assay</t>
  </si>
  <si>
    <t>Sample(s)</t>
  </si>
  <si>
    <t>Reference Substance:</t>
  </si>
  <si>
    <t>TENOFOVIR DISOPROXIL FUMARATE/  LAMIVUDINE/ EFAVIRENZ  TABLETS 300 MG/300 MG /600 MG</t>
  </si>
  <si>
    <t>% age Purity:</t>
  </si>
  <si>
    <t>NDQB201707029</t>
  </si>
  <si>
    <t>Weight (mg):</t>
  </si>
  <si>
    <t>Tenofovir Disoproxil Fumarate, Lamivudine, Efavirenz</t>
  </si>
  <si>
    <t>Standard Conc (mg/mL):</t>
  </si>
  <si>
    <t>Each film coated tablet contains Tenofovir Disoproxil Fumarate 300mg, Lamivudine 300mg &amp; Efavirenz 600mg tablets</t>
  </si>
  <si>
    <t>2017-07-19 11:05:55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</si>
  <si>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</si>
  <si>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</si>
  <si>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</si>
  <si>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</si>
  <si>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</si>
  <si>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</si>
  <si>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</si>
  <si>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</si>
  <si>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</si>
  <si>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</si>
  <si>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</si>
  <si>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</si>
  <si>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</si>
  <si>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</si>
  <si>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</si>
  <si>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</si>
  <si>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</si>
  <si>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</si>
  <si>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</si>
  <si>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</si>
  <si>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</si>
  <si>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</si>
  <si>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</si>
  <si>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</si>
  <si>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</si>
  <si>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</si>
  <si>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</si>
  <si>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</si>
  <si>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</si>
  <si>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</si>
  <si>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</si>
  <si>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</si>
  <si>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</si>
  <si>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</si>
  <si>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</si>
  <si>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</si>
  <si>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</si>
  <si>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</si>
  <si>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</si>
  <si>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</si>
  <si>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</si>
  <si>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</si>
  <si>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</si>
  <si>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</si>
  <si>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</si>
  <si>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</si>
  <si>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</si>
  <si>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</si>
  <si>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</si>
  <si>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</si>
  <si>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</si>
  <si>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</si>
  <si>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</si>
  <si>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</si>
  <si>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</si>
  <si>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</si>
  <si>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</si>
  <si>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</si>
  <si>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</si>
  <si>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</si>
  <si>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</si>
  <si>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</si>
  <si>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</si>
  <si>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</si>
  <si>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</si>
  <si>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</si>
  <si>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</si>
  <si>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</si>
  <si>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</si>
  <si>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</si>
  <si>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</si>
  <si>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</si>
  <si>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</si>
  <si>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</si>
  <si>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</si>
  <si>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</si>
  <si>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</si>
  <si>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</si>
  <si>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</si>
  <si>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</si>
  <si>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</si>
  <si>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</si>
  <si>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</si>
  <si>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</si>
  <si>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</si>
  <si>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</si>
  <si>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</si>
  <si>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</si>
  <si>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</si>
  <si>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</si>
  <si>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</si>
  <si>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</si>
  <si>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</si>
  <si>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</si>
  <si>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</si>
  <si>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</si>
  <si>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</si>
  <si>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</si>
  <si>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</si>
  <si>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</si>
  <si>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</si>
  <si>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</si>
  <si>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</si>
  <si>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</si>
  <si>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</si>
  <si>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</si>
  <si>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</si>
  <si>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</si>
  <si>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</si>
  <si>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</si>
  <si>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</si>
  <si>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</si>
  <si>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</si>
  <si>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</si>
  <si>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</si>
  <si>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</si>
  <si>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</si>
  <si>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</si>
  <si>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Tenofovir Disoproxil Fumarate</t>
  </si>
  <si>
    <t>T11-10</t>
  </si>
  <si>
    <t xml:space="preserve"> Lamivudine</t>
  </si>
  <si>
    <t>L3-10</t>
  </si>
  <si>
    <t>Efavirenz</t>
  </si>
  <si>
    <t>E15-6</t>
  </si>
  <si>
    <t>EFAVIRENZ, LAMIVUDINE AND  TENOFOVIR DISOPROXIL FUMARATE TABLETS 600 MG/300 MG /300 MG</t>
  </si>
  <si>
    <t xml:space="preserve">                         Tenofovir Disoproxil Fumarate </t>
  </si>
  <si>
    <t>Resolution(USP)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</si>
  <si>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10000</t>
    </r>
  </si>
  <si>
    <t xml:space="preserve">Lamivudine </t>
  </si>
  <si>
    <r>
      <t xml:space="preserve">The number of Theoretical Plates (USP) for all peaks should be </t>
    </r>
    <r>
      <rPr>
        <b/>
        <sz val="12"/>
        <color rgb="FF000000"/>
        <rFont val="Book Antiqua"/>
        <family val="1"/>
      </rPr>
      <t>NLT 2000</t>
    </r>
  </si>
  <si>
    <t>RUTTO KENNEDY</t>
  </si>
  <si>
    <t>Lamivudine</t>
  </si>
  <si>
    <t>TENOFOVIR DISOPROXIL FUMARATE ,LAMIVUDINE AND EFAVIRENZ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</si>
</sst>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10" fontId="2" fillId="2" borderId="0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15" fontId="2" fillId="2" borderId="7" xfId="1" applyNumberFormat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19" workbookViewId="0">
      <selection activeCell="E51" sqref="E51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137</v>
      </c>
      <c r="D17" s="620"/>
      <c r="E17" s="620"/>
      <c r="F17" s="621"/>
    </row>
    <row r="18" spans="1:6" ht="16.5" customHeight="1" x14ac:dyDescent="0.3">
      <c r="A18" s="622" t="s">
        <v>4</v>
      </c>
      <c r="B18" s="623" t="s">
        <v>138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99.54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11.73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11.73/100</f>
        <v>0.1173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11502552</v>
      </c>
      <c r="C24" s="628">
        <v>45300.9</v>
      </c>
      <c r="D24" s="629">
        <v>1</v>
      </c>
      <c r="E24" s="629">
        <v>41.8</v>
      </c>
      <c r="F24" s="630">
        <v>15.9</v>
      </c>
    </row>
    <row r="25" spans="1:6" ht="16.5" customHeight="1" x14ac:dyDescent="0.3">
      <c r="A25" s="627">
        <v>2</v>
      </c>
      <c r="B25" s="628">
        <v>11518633</v>
      </c>
      <c r="C25" s="628">
        <v>45418.400000000001</v>
      </c>
      <c r="D25" s="629">
        <v>1</v>
      </c>
      <c r="E25" s="629">
        <v>41.8</v>
      </c>
      <c r="F25" s="629">
        <v>15.9</v>
      </c>
    </row>
    <row r="26" spans="1:6" ht="16.5" customHeight="1" x14ac:dyDescent="0.3">
      <c r="A26" s="627">
        <v>3</v>
      </c>
      <c r="B26" s="628">
        <v>11512795</v>
      </c>
      <c r="C26" s="628">
        <v>45503.8</v>
      </c>
      <c r="D26" s="629">
        <v>1</v>
      </c>
      <c r="E26" s="629">
        <v>41.7</v>
      </c>
      <c r="F26" s="629">
        <v>15.9</v>
      </c>
    </row>
    <row r="27" spans="1:6" ht="16.5" customHeight="1" x14ac:dyDescent="0.3">
      <c r="A27" s="627">
        <v>4</v>
      </c>
      <c r="B27" s="628">
        <v>11498961</v>
      </c>
      <c r="C27" s="628">
        <v>45607.199999999997</v>
      </c>
      <c r="D27" s="629">
        <v>1</v>
      </c>
      <c r="E27" s="629">
        <v>41.6</v>
      </c>
      <c r="F27" s="629">
        <v>15.9</v>
      </c>
    </row>
    <row r="28" spans="1:6" ht="16.5" customHeight="1" x14ac:dyDescent="0.3">
      <c r="A28" s="627">
        <v>5</v>
      </c>
      <c r="B28" s="628">
        <v>11506744</v>
      </c>
      <c r="C28" s="628">
        <v>45723.9</v>
      </c>
      <c r="D28" s="629">
        <v>1</v>
      </c>
      <c r="E28" s="629">
        <v>41.7</v>
      </c>
      <c r="F28" s="629">
        <v>15.9</v>
      </c>
    </row>
    <row r="29" spans="1:6" ht="16.5" customHeight="1" x14ac:dyDescent="0.3">
      <c r="A29" s="627">
        <v>6</v>
      </c>
      <c r="B29" s="631">
        <v>11639402</v>
      </c>
      <c r="C29" s="631">
        <v>46866.3</v>
      </c>
      <c r="D29" s="632">
        <v>1</v>
      </c>
      <c r="E29" s="632">
        <v>42.3</v>
      </c>
      <c r="F29" s="632">
        <v>15.9</v>
      </c>
    </row>
    <row r="30" spans="1:6" ht="16.5" customHeight="1" x14ac:dyDescent="0.3">
      <c r="A30" s="633" t="s">
        <v>18</v>
      </c>
      <c r="B30" s="634">
        <f>AVERAGE(B24:B29)</f>
        <v>11529847.833333334</v>
      </c>
      <c r="C30" s="635">
        <f>AVERAGE(C24:C29)</f>
        <v>45736.75</v>
      </c>
      <c r="D30" s="636">
        <f>AVERAGE(D24:D29)</f>
        <v>1</v>
      </c>
      <c r="E30" s="636">
        <f>AVERAGE(E24:E29)</f>
        <v>41.81666666666667</v>
      </c>
      <c r="F30" s="636">
        <f>AVERAGE(F24:F29)</f>
        <v>15.9</v>
      </c>
    </row>
    <row r="31" spans="1:6" ht="16.5" customHeight="1" x14ac:dyDescent="0.3">
      <c r="A31" s="637" t="s">
        <v>19</v>
      </c>
      <c r="B31" s="638">
        <f>(STDEV(B24:B29)/B30)</f>
        <v>4.6949714771942616E-3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23" t="s">
        <v>138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99.54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15.15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f>15.15/50</f>
        <v>0.30299999999999999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3701715</v>
      </c>
      <c r="C45" s="628">
        <v>10587</v>
      </c>
      <c r="D45" s="629">
        <v>1.39</v>
      </c>
      <c r="E45" s="629">
        <v>17.48</v>
      </c>
      <c r="F45" s="630">
        <v>7.96</v>
      </c>
    </row>
    <row r="46" spans="1:6" ht="16.5" customHeight="1" x14ac:dyDescent="0.3">
      <c r="A46" s="627">
        <v>2</v>
      </c>
      <c r="B46" s="628">
        <v>3696160</v>
      </c>
      <c r="C46" s="628">
        <v>10535</v>
      </c>
      <c r="D46" s="629">
        <v>1.38</v>
      </c>
      <c r="E46" s="629">
        <v>17.260000000000002</v>
      </c>
      <c r="F46" s="629">
        <v>7.97</v>
      </c>
    </row>
    <row r="47" spans="1:6" ht="16.5" customHeight="1" x14ac:dyDescent="0.3">
      <c r="A47" s="627">
        <v>3</v>
      </c>
      <c r="B47" s="628">
        <v>3707017</v>
      </c>
      <c r="C47" s="628">
        <v>10593</v>
      </c>
      <c r="D47" s="629">
        <v>1.39</v>
      </c>
      <c r="E47" s="629">
        <v>17.329999999999998</v>
      </c>
      <c r="F47" s="629">
        <v>7.97</v>
      </c>
    </row>
    <row r="48" spans="1:6" ht="16.5" customHeight="1" x14ac:dyDescent="0.3">
      <c r="A48" s="627">
        <v>4</v>
      </c>
      <c r="B48" s="628">
        <v>3689986</v>
      </c>
      <c r="C48" s="628">
        <v>10565</v>
      </c>
      <c r="D48" s="629">
        <v>1.38</v>
      </c>
      <c r="E48" s="629">
        <v>17.29</v>
      </c>
      <c r="F48" s="629">
        <v>7.97</v>
      </c>
    </row>
    <row r="49" spans="1:8" ht="16.5" customHeight="1" x14ac:dyDescent="0.3">
      <c r="A49" s="627">
        <v>5</v>
      </c>
      <c r="B49" s="628">
        <v>3735683</v>
      </c>
      <c r="C49" s="628">
        <v>10422</v>
      </c>
      <c r="D49" s="629">
        <v>1.38</v>
      </c>
      <c r="E49" s="629">
        <v>17.079999999999998</v>
      </c>
      <c r="F49" s="629">
        <v>7.97</v>
      </c>
    </row>
    <row r="50" spans="1:8" ht="16.5" customHeight="1" x14ac:dyDescent="0.3">
      <c r="A50" s="627">
        <v>6</v>
      </c>
      <c r="B50" s="631">
        <v>3711073</v>
      </c>
      <c r="C50" s="631">
        <v>10326</v>
      </c>
      <c r="D50" s="632">
        <v>1.41</v>
      </c>
      <c r="E50" s="632">
        <v>17.12</v>
      </c>
      <c r="F50" s="632">
        <v>7.97</v>
      </c>
    </row>
    <row r="51" spans="1:8" ht="16.5" customHeight="1" x14ac:dyDescent="0.3">
      <c r="A51" s="633" t="s">
        <v>18</v>
      </c>
      <c r="B51" s="634">
        <f>AVERAGE(B45:B50)</f>
        <v>3706939</v>
      </c>
      <c r="C51" s="635">
        <f>AVERAGE(C45:C50)</f>
        <v>10504.666666666666</v>
      </c>
      <c r="D51" s="636">
        <f>AVERAGE(D45:D50)</f>
        <v>1.388333333333333</v>
      </c>
      <c r="E51" s="636">
        <f>AVERAGE(E45:E50)</f>
        <v>17.260000000000002</v>
      </c>
      <c r="F51" s="636">
        <f>AVERAGE(F45:F50)</f>
        <v>7.9683333333333328</v>
      </c>
    </row>
    <row r="52" spans="1:8" ht="16.5" customHeight="1" x14ac:dyDescent="0.3">
      <c r="A52" s="637" t="s">
        <v>19</v>
      </c>
      <c r="B52" s="638">
        <f>(STDEV(B45:B50)/B51)</f>
        <v>4.3064307993352768E-3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0" t="s">
        <v>26</v>
      </c>
      <c r="C59" s="660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143</v>
      </c>
      <c r="C60" s="656"/>
      <c r="F60" s="710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42" sqref="B42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4" width="25.85546875" style="615" customWidth="1"/>
    <col min="5" max="5" width="25.7109375" style="615" customWidth="1"/>
    <col min="6" max="6" width="23.140625" style="615" customWidth="1"/>
    <col min="7" max="7" width="28.42578125" style="615" customWidth="1"/>
    <col min="8" max="8" width="21.5703125" style="615" customWidth="1"/>
    <col min="9" max="9" width="9.140625" style="615" customWidth="1"/>
    <col min="10" max="16384" width="9.140625" style="652"/>
  </cols>
  <sheetData>
    <row r="14" spans="1:6" ht="15" customHeight="1" x14ac:dyDescent="0.3">
      <c r="A14" s="614"/>
      <c r="C14" s="616"/>
      <c r="F14" s="616"/>
    </row>
    <row r="15" spans="1:6" ht="18.75" customHeight="1" x14ac:dyDescent="0.3">
      <c r="A15" s="659" t="s">
        <v>0</v>
      </c>
      <c r="B15" s="659"/>
      <c r="C15" s="659"/>
      <c r="D15" s="659"/>
      <c r="E15" s="659"/>
    </row>
    <row r="16" spans="1:6" ht="16.5" customHeight="1" x14ac:dyDescent="0.3">
      <c r="A16" s="617" t="s">
        <v>1</v>
      </c>
      <c r="B16" s="618" t="s">
        <v>2</v>
      </c>
    </row>
    <row r="17" spans="1:5" ht="16.5" customHeight="1" x14ac:dyDescent="0.3">
      <c r="A17" s="619" t="s">
        <v>3</v>
      </c>
      <c r="B17" s="619" t="s">
        <v>137</v>
      </c>
      <c r="D17" s="620"/>
      <c r="E17" s="621"/>
    </row>
    <row r="18" spans="1:5" ht="16.5" customHeight="1" x14ac:dyDescent="0.3">
      <c r="A18" s="622" t="s">
        <v>4</v>
      </c>
      <c r="B18" s="619" t="s">
        <v>141</v>
      </c>
      <c r="C18" s="621"/>
      <c r="D18" s="621"/>
      <c r="E18" s="621"/>
    </row>
    <row r="19" spans="1:5" ht="16.5" customHeight="1" x14ac:dyDescent="0.3">
      <c r="A19" s="622" t="s">
        <v>6</v>
      </c>
      <c r="B19" s="623">
        <v>99.39</v>
      </c>
      <c r="C19" s="621"/>
      <c r="D19" s="621"/>
      <c r="E19" s="621"/>
    </row>
    <row r="20" spans="1:5" ht="16.5" customHeight="1" x14ac:dyDescent="0.3">
      <c r="A20" s="619" t="s">
        <v>8</v>
      </c>
      <c r="B20" s="623">
        <v>11.76</v>
      </c>
      <c r="C20" s="621"/>
      <c r="D20" s="621"/>
      <c r="E20" s="621"/>
    </row>
    <row r="21" spans="1:5" ht="16.5" customHeight="1" x14ac:dyDescent="0.3">
      <c r="A21" s="619" t="s">
        <v>10</v>
      </c>
      <c r="B21" s="624">
        <f>11.76/100</f>
        <v>0.1176</v>
      </c>
      <c r="C21" s="621"/>
      <c r="D21" s="621"/>
      <c r="E21" s="621"/>
    </row>
    <row r="22" spans="1:5" ht="15.75" customHeight="1" x14ac:dyDescent="0.25">
      <c r="A22" s="621"/>
      <c r="B22" s="621"/>
      <c r="C22" s="621"/>
      <c r="D22" s="621"/>
      <c r="E22" s="621"/>
    </row>
    <row r="23" spans="1:5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17</v>
      </c>
    </row>
    <row r="24" spans="1:5" ht="16.5" customHeight="1" x14ac:dyDescent="0.3">
      <c r="A24" s="627">
        <v>1</v>
      </c>
      <c r="B24" s="628">
        <v>22763601</v>
      </c>
      <c r="C24" s="628">
        <v>3964.6</v>
      </c>
      <c r="D24" s="629">
        <v>0.9</v>
      </c>
      <c r="E24" s="630">
        <v>4.0999999999999996</v>
      </c>
    </row>
    <row r="25" spans="1:5" ht="16.5" customHeight="1" x14ac:dyDescent="0.3">
      <c r="A25" s="627">
        <v>2</v>
      </c>
      <c r="B25" s="628">
        <v>22768315</v>
      </c>
      <c r="C25" s="628">
        <v>4012.4</v>
      </c>
      <c r="D25" s="629">
        <v>0.9</v>
      </c>
      <c r="E25" s="629">
        <v>4.0999999999999996</v>
      </c>
    </row>
    <row r="26" spans="1:5" ht="16.5" customHeight="1" x14ac:dyDescent="0.3">
      <c r="A26" s="627">
        <v>3</v>
      </c>
      <c r="B26" s="628">
        <v>22798756</v>
      </c>
      <c r="C26" s="628">
        <v>3956.4</v>
      </c>
      <c r="D26" s="629">
        <v>1</v>
      </c>
      <c r="E26" s="629">
        <v>4.2</v>
      </c>
    </row>
    <row r="27" spans="1:5" ht="16.5" customHeight="1" x14ac:dyDescent="0.3">
      <c r="A27" s="627">
        <v>4</v>
      </c>
      <c r="B27" s="628">
        <v>22834847</v>
      </c>
      <c r="C27" s="628">
        <v>3898.6</v>
      </c>
      <c r="D27" s="629">
        <v>1</v>
      </c>
      <c r="E27" s="629">
        <v>4.2</v>
      </c>
    </row>
    <row r="28" spans="1:5" ht="16.5" customHeight="1" x14ac:dyDescent="0.3">
      <c r="A28" s="627">
        <v>5</v>
      </c>
      <c r="B28" s="628">
        <v>22798397</v>
      </c>
      <c r="C28" s="628">
        <v>3908.6</v>
      </c>
      <c r="D28" s="629">
        <v>0.9</v>
      </c>
      <c r="E28" s="629">
        <v>4.2</v>
      </c>
    </row>
    <row r="29" spans="1:5" ht="16.5" customHeight="1" x14ac:dyDescent="0.3">
      <c r="A29" s="627">
        <v>6</v>
      </c>
      <c r="B29" s="631">
        <v>22866466</v>
      </c>
      <c r="C29" s="631">
        <v>3994.1</v>
      </c>
      <c r="D29" s="632">
        <v>0.9</v>
      </c>
      <c r="E29" s="632">
        <v>4.0999999999999996</v>
      </c>
    </row>
    <row r="30" spans="1:5" ht="16.5" customHeight="1" x14ac:dyDescent="0.3">
      <c r="A30" s="633" t="s">
        <v>18</v>
      </c>
      <c r="B30" s="634">
        <f>AVERAGE(B24:B29)</f>
        <v>22805063.666666668</v>
      </c>
      <c r="C30" s="635">
        <f>AVERAGE(C24:C29)</f>
        <v>3955.7833333333328</v>
      </c>
      <c r="D30" s="636">
        <f>AVERAGE(D24:D29)</f>
        <v>0.93333333333333346</v>
      </c>
      <c r="E30" s="636">
        <f>AVERAGE(E24:E29)</f>
        <v>4.1499999999999995</v>
      </c>
    </row>
    <row r="31" spans="1:5" ht="16.5" customHeight="1" x14ac:dyDescent="0.3">
      <c r="A31" s="637" t="s">
        <v>19</v>
      </c>
      <c r="B31" s="638">
        <f>(STDEV(B24:B29)/B30)</f>
        <v>1.7331692300822912E-3</v>
      </c>
      <c r="C31" s="639"/>
      <c r="D31" s="639"/>
      <c r="E31" s="640"/>
    </row>
    <row r="32" spans="1:5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5"/>
    </row>
    <row r="33" spans="1:5" s="615" customFormat="1" ht="15.75" customHeight="1" x14ac:dyDescent="0.25">
      <c r="A33" s="621"/>
      <c r="B33" s="621"/>
      <c r="C33" s="621"/>
      <c r="D33" s="621"/>
      <c r="E33" s="621"/>
    </row>
    <row r="34" spans="1:5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</row>
    <row r="35" spans="1:5" ht="16.5" customHeight="1" x14ac:dyDescent="0.3">
      <c r="A35" s="622"/>
      <c r="B35" s="646" t="s">
        <v>142</v>
      </c>
      <c r="C35" s="647"/>
      <c r="D35" s="647"/>
      <c r="E35" s="647"/>
    </row>
    <row r="36" spans="1:5" ht="16.5" customHeight="1" x14ac:dyDescent="0.3">
      <c r="A36" s="622"/>
      <c r="B36" s="646" t="s">
        <v>24</v>
      </c>
      <c r="C36" s="647"/>
      <c r="D36" s="647"/>
      <c r="E36" s="647"/>
    </row>
    <row r="37" spans="1:5" ht="15.75" customHeight="1" x14ac:dyDescent="0.25">
      <c r="A37" s="621"/>
      <c r="B37" s="621"/>
      <c r="C37" s="621"/>
      <c r="D37" s="621"/>
      <c r="E37" s="621"/>
    </row>
    <row r="38" spans="1:5" ht="16.5" customHeight="1" x14ac:dyDescent="0.3">
      <c r="A38" s="617" t="s">
        <v>1</v>
      </c>
      <c r="B38" s="618" t="s">
        <v>25</v>
      </c>
    </row>
    <row r="39" spans="1:5" ht="16.5" customHeight="1" x14ac:dyDescent="0.3">
      <c r="A39" s="622" t="s">
        <v>4</v>
      </c>
      <c r="B39" s="619" t="s">
        <v>144</v>
      </c>
      <c r="C39" s="621"/>
      <c r="D39" s="621"/>
      <c r="E39" s="621"/>
    </row>
    <row r="40" spans="1:5" ht="16.5" customHeight="1" x14ac:dyDescent="0.3">
      <c r="A40" s="622" t="s">
        <v>6</v>
      </c>
      <c r="B40" s="623">
        <v>99.39</v>
      </c>
      <c r="C40" s="621"/>
      <c r="D40" s="621"/>
      <c r="E40" s="621"/>
    </row>
    <row r="41" spans="1:5" ht="16.5" customHeight="1" x14ac:dyDescent="0.3">
      <c r="A41" s="619" t="s">
        <v>8</v>
      </c>
      <c r="B41" s="623">
        <v>14.95</v>
      </c>
      <c r="C41" s="621"/>
      <c r="D41" s="621"/>
      <c r="E41" s="621"/>
    </row>
    <row r="42" spans="1:5" ht="16.5" customHeight="1" x14ac:dyDescent="0.3">
      <c r="A42" s="619" t="s">
        <v>10</v>
      </c>
      <c r="B42" s="624">
        <v>0.29899999999999999</v>
      </c>
      <c r="C42" s="621"/>
      <c r="D42" s="621"/>
      <c r="E42" s="621"/>
    </row>
    <row r="43" spans="1:5" ht="15.75" customHeight="1" x14ac:dyDescent="0.25">
      <c r="A43" s="621"/>
      <c r="B43" s="621"/>
      <c r="C43" s="621"/>
      <c r="D43" s="621"/>
      <c r="E43" s="621"/>
    </row>
    <row r="44" spans="1:5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17</v>
      </c>
    </row>
    <row r="45" spans="1:5" ht="16.5" customHeight="1" x14ac:dyDescent="0.3">
      <c r="A45" s="627">
        <v>1</v>
      </c>
      <c r="B45" s="628">
        <v>3750995</v>
      </c>
      <c r="C45" s="628">
        <v>557</v>
      </c>
      <c r="D45" s="629">
        <v>1.5</v>
      </c>
      <c r="E45" s="630">
        <v>2.12</v>
      </c>
    </row>
    <row r="46" spans="1:5" ht="16.5" customHeight="1" x14ac:dyDescent="0.3">
      <c r="A46" s="627">
        <v>2</v>
      </c>
      <c r="B46" s="628">
        <v>3743921</v>
      </c>
      <c r="C46" s="628">
        <v>533</v>
      </c>
      <c r="D46" s="629">
        <v>1.48</v>
      </c>
      <c r="E46" s="629">
        <v>2.12</v>
      </c>
    </row>
    <row r="47" spans="1:5" ht="16.5" customHeight="1" x14ac:dyDescent="0.3">
      <c r="A47" s="627">
        <v>3</v>
      </c>
      <c r="B47" s="628">
        <v>3750281</v>
      </c>
      <c r="C47" s="628">
        <v>538</v>
      </c>
      <c r="D47" s="629">
        <v>1.47</v>
      </c>
      <c r="E47" s="629">
        <v>2.12</v>
      </c>
    </row>
    <row r="48" spans="1:5" ht="16.5" customHeight="1" x14ac:dyDescent="0.3">
      <c r="A48" s="627">
        <v>4</v>
      </c>
      <c r="B48" s="628">
        <v>3710554</v>
      </c>
      <c r="C48" s="628">
        <v>535</v>
      </c>
      <c r="D48" s="629">
        <v>1.45</v>
      </c>
      <c r="E48" s="629">
        <v>2.12</v>
      </c>
    </row>
    <row r="49" spans="1:7" ht="16.5" customHeight="1" x14ac:dyDescent="0.3">
      <c r="A49" s="627">
        <v>5</v>
      </c>
      <c r="B49" s="628">
        <v>3752987</v>
      </c>
      <c r="C49" s="628">
        <v>523</v>
      </c>
      <c r="D49" s="629">
        <v>1.43</v>
      </c>
      <c r="E49" s="629">
        <v>2.13</v>
      </c>
    </row>
    <row r="50" spans="1:7" ht="16.5" customHeight="1" x14ac:dyDescent="0.3">
      <c r="A50" s="627">
        <v>6</v>
      </c>
      <c r="B50" s="631">
        <v>3721874</v>
      </c>
      <c r="C50" s="631">
        <v>531</v>
      </c>
      <c r="D50" s="632">
        <v>1.48</v>
      </c>
      <c r="E50" s="632">
        <v>2.13</v>
      </c>
    </row>
    <row r="51" spans="1:7" ht="16.5" customHeight="1" x14ac:dyDescent="0.3">
      <c r="A51" s="633" t="s">
        <v>18</v>
      </c>
      <c r="B51" s="634">
        <f>AVERAGE(B45:B50)</f>
        <v>3738435.3333333335</v>
      </c>
      <c r="C51" s="635">
        <f>AVERAGE(C45:C50)</f>
        <v>536.16666666666663</v>
      </c>
      <c r="D51" s="636">
        <f>AVERAGE(D45:D50)</f>
        <v>1.4683333333333335</v>
      </c>
      <c r="E51" s="636">
        <f>AVERAGE(E45:E50)</f>
        <v>2.1233333333333331</v>
      </c>
    </row>
    <row r="52" spans="1:7" ht="16.5" customHeight="1" x14ac:dyDescent="0.3">
      <c r="A52" s="637" t="s">
        <v>19</v>
      </c>
      <c r="B52" s="638">
        <f>(STDEV(B45:B50)/B51)</f>
        <v>4.7723904069230756E-3</v>
      </c>
      <c r="C52" s="639"/>
      <c r="D52" s="639"/>
      <c r="E52" s="640"/>
    </row>
    <row r="53" spans="1:7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5"/>
    </row>
    <row r="54" spans="1:7" s="615" customFormat="1" ht="15.75" customHeight="1" x14ac:dyDescent="0.25">
      <c r="A54" s="621"/>
      <c r="B54" s="621"/>
      <c r="C54" s="621"/>
      <c r="D54" s="621"/>
      <c r="E54" s="621"/>
    </row>
    <row r="55" spans="1:7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</row>
    <row r="56" spans="1:7" ht="16.5" customHeight="1" x14ac:dyDescent="0.3">
      <c r="A56" s="622"/>
      <c r="B56" s="646" t="s">
        <v>23</v>
      </c>
      <c r="C56" s="647"/>
      <c r="D56" s="647"/>
      <c r="E56" s="647"/>
    </row>
    <row r="57" spans="1:7" ht="16.5" customHeight="1" x14ac:dyDescent="0.3">
      <c r="A57" s="622"/>
      <c r="B57" s="646" t="s">
        <v>24</v>
      </c>
      <c r="C57" s="647"/>
      <c r="D57" s="647"/>
      <c r="E57" s="647"/>
    </row>
    <row r="58" spans="1:7" ht="14.25" customHeight="1" thickBot="1" x14ac:dyDescent="0.3">
      <c r="A58" s="648"/>
      <c r="B58" s="649"/>
      <c r="D58" s="650"/>
      <c r="F58" s="652"/>
      <c r="G58" s="652"/>
    </row>
    <row r="59" spans="1:7" ht="15" customHeight="1" x14ac:dyDescent="0.3">
      <c r="B59" s="660" t="s">
        <v>26</v>
      </c>
      <c r="C59" s="660"/>
      <c r="E59" s="653" t="s">
        <v>27</v>
      </c>
      <c r="F59" s="654"/>
      <c r="G59" s="653" t="s">
        <v>28</v>
      </c>
    </row>
    <row r="60" spans="1:7" ht="15" customHeight="1" x14ac:dyDescent="0.3">
      <c r="A60" s="655" t="s">
        <v>29</v>
      </c>
      <c r="B60" s="656" t="s">
        <v>143</v>
      </c>
      <c r="C60" s="656"/>
      <c r="E60" s="710">
        <v>43006</v>
      </c>
      <c r="G60" s="656"/>
    </row>
    <row r="61" spans="1:7" ht="15" customHeight="1" x14ac:dyDescent="0.3">
      <c r="A61" s="655" t="s">
        <v>30</v>
      </c>
      <c r="B61" s="657"/>
      <c r="C61" s="657"/>
      <c r="E61" s="657"/>
      <c r="G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6" workbookViewId="0">
      <selection activeCell="B20" sqref="B20"/>
    </sheetView>
  </sheetViews>
  <sheetFormatPr defaultRowHeight="13.5" x14ac:dyDescent="0.25"/>
  <cols>
    <col min="1" max="1" width="27.5703125" style="615" customWidth="1"/>
    <col min="2" max="2" width="20.42578125" style="615" customWidth="1"/>
    <col min="3" max="3" width="31.85546875" style="615" customWidth="1"/>
    <col min="4" max="5" width="25.85546875" style="615" customWidth="1"/>
    <col min="6" max="6" width="25.7109375" style="615" customWidth="1"/>
    <col min="7" max="7" width="23.140625" style="615" customWidth="1"/>
    <col min="8" max="8" width="28.42578125" style="615" customWidth="1"/>
    <col min="9" max="9" width="21.5703125" style="615" customWidth="1"/>
    <col min="10" max="10" width="9.140625" style="615" customWidth="1"/>
    <col min="11" max="16384" width="9.140625" style="652"/>
  </cols>
  <sheetData>
    <row r="14" spans="1:7" ht="15" customHeight="1" x14ac:dyDescent="0.3">
      <c r="A14" s="614"/>
      <c r="C14" s="616"/>
      <c r="G14" s="616"/>
    </row>
    <row r="15" spans="1:7" ht="18.75" customHeight="1" x14ac:dyDescent="0.3">
      <c r="A15" s="659" t="s">
        <v>0</v>
      </c>
      <c r="B15" s="659"/>
      <c r="C15" s="659"/>
      <c r="D15" s="659"/>
      <c r="E15" s="659"/>
      <c r="F15" s="659"/>
    </row>
    <row r="16" spans="1:7" ht="16.5" customHeight="1" x14ac:dyDescent="0.3">
      <c r="A16" s="617" t="s">
        <v>1</v>
      </c>
      <c r="B16" s="618" t="s">
        <v>2</v>
      </c>
    </row>
    <row r="17" spans="1:6" ht="16.5" customHeight="1" x14ac:dyDescent="0.3">
      <c r="A17" s="619" t="s">
        <v>3</v>
      </c>
      <c r="B17" s="619" t="s">
        <v>145</v>
      </c>
      <c r="D17" s="620"/>
      <c r="E17" s="620"/>
      <c r="F17" s="621"/>
    </row>
    <row r="18" spans="1:6" ht="16.5" customHeight="1" x14ac:dyDescent="0.3">
      <c r="A18" s="622" t="s">
        <v>4</v>
      </c>
      <c r="B18" s="619" t="s">
        <v>135</v>
      </c>
      <c r="C18" s="621"/>
      <c r="D18" s="621"/>
      <c r="E18" s="621"/>
      <c r="F18" s="621"/>
    </row>
    <row r="19" spans="1:6" ht="16.5" customHeight="1" x14ac:dyDescent="0.3">
      <c r="A19" s="622" t="s">
        <v>6</v>
      </c>
      <c r="B19" s="623">
        <v>97.21</v>
      </c>
      <c r="C19" s="621"/>
      <c r="D19" s="621"/>
      <c r="E19" s="621"/>
      <c r="F19" s="621"/>
    </row>
    <row r="20" spans="1:6" ht="16.5" customHeight="1" x14ac:dyDescent="0.3">
      <c r="A20" s="619" t="s">
        <v>8</v>
      </c>
      <c r="B20" s="623">
        <v>23.29</v>
      </c>
      <c r="C20" s="621"/>
      <c r="D20" s="621"/>
      <c r="E20" s="621"/>
      <c r="F20" s="621"/>
    </row>
    <row r="21" spans="1:6" ht="16.5" customHeight="1" x14ac:dyDescent="0.3">
      <c r="A21" s="619" t="s">
        <v>10</v>
      </c>
      <c r="B21" s="624">
        <f>23.29/100</f>
        <v>0.2329</v>
      </c>
      <c r="C21" s="621"/>
      <c r="D21" s="621"/>
      <c r="E21" s="621"/>
      <c r="F21" s="621"/>
    </row>
    <row r="22" spans="1:6" ht="15.75" customHeight="1" x14ac:dyDescent="0.25">
      <c r="A22" s="621"/>
      <c r="B22" s="621"/>
      <c r="C22" s="621"/>
      <c r="D22" s="621"/>
      <c r="E22" s="621"/>
      <c r="F22" s="621"/>
    </row>
    <row r="23" spans="1:6" ht="16.5" customHeight="1" x14ac:dyDescent="0.3">
      <c r="A23" s="625" t="s">
        <v>13</v>
      </c>
      <c r="B23" s="626" t="s">
        <v>14</v>
      </c>
      <c r="C23" s="625" t="s">
        <v>15</v>
      </c>
      <c r="D23" s="625" t="s">
        <v>16</v>
      </c>
      <c r="E23" s="625" t="s">
        <v>139</v>
      </c>
      <c r="F23" s="625" t="s">
        <v>17</v>
      </c>
    </row>
    <row r="24" spans="1:6" ht="16.5" customHeight="1" x14ac:dyDescent="0.3">
      <c r="A24" s="627">
        <v>1</v>
      </c>
      <c r="B24" s="628">
        <v>4693690</v>
      </c>
      <c r="C24" s="628">
        <v>617765.30000000005</v>
      </c>
      <c r="D24" s="629">
        <v>1.1000000000000001</v>
      </c>
      <c r="E24" s="629">
        <v>43.9</v>
      </c>
      <c r="F24" s="630">
        <v>25.3</v>
      </c>
    </row>
    <row r="25" spans="1:6" ht="16.5" customHeight="1" x14ac:dyDescent="0.3">
      <c r="A25" s="627">
        <v>2</v>
      </c>
      <c r="B25" s="628">
        <v>4717487</v>
      </c>
      <c r="C25" s="628">
        <v>616339.9</v>
      </c>
      <c r="D25" s="629">
        <v>1.1000000000000001</v>
      </c>
      <c r="E25" s="629">
        <v>44.1</v>
      </c>
      <c r="F25" s="629">
        <v>25.3</v>
      </c>
    </row>
    <row r="26" spans="1:6" ht="16.5" customHeight="1" x14ac:dyDescent="0.3">
      <c r="A26" s="627">
        <v>3</v>
      </c>
      <c r="B26" s="628">
        <v>4700882</v>
      </c>
      <c r="C26" s="628">
        <v>619428.9</v>
      </c>
      <c r="D26" s="629">
        <v>1.1000000000000001</v>
      </c>
      <c r="E26" s="629">
        <v>43.9</v>
      </c>
      <c r="F26" s="629">
        <v>25.2</v>
      </c>
    </row>
    <row r="27" spans="1:6" ht="16.5" customHeight="1" x14ac:dyDescent="0.3">
      <c r="A27" s="627">
        <v>4</v>
      </c>
      <c r="B27" s="628">
        <v>4701523</v>
      </c>
      <c r="C27" s="628">
        <v>621419.6</v>
      </c>
      <c r="D27" s="629">
        <v>1.1000000000000001</v>
      </c>
      <c r="E27" s="629">
        <v>44.1</v>
      </c>
      <c r="F27" s="629">
        <v>25.3</v>
      </c>
    </row>
    <row r="28" spans="1:6" ht="16.5" customHeight="1" x14ac:dyDescent="0.3">
      <c r="A28" s="627">
        <v>5</v>
      </c>
      <c r="B28" s="628">
        <v>4696720</v>
      </c>
      <c r="C28" s="628">
        <v>626862.19999999995</v>
      </c>
      <c r="D28" s="629">
        <v>1.1000000000000001</v>
      </c>
      <c r="E28" s="629">
        <v>44.2</v>
      </c>
      <c r="F28" s="629">
        <v>25.3</v>
      </c>
    </row>
    <row r="29" spans="1:6" ht="16.5" customHeight="1" x14ac:dyDescent="0.3">
      <c r="A29" s="627">
        <v>6</v>
      </c>
      <c r="B29" s="631">
        <v>4731872</v>
      </c>
      <c r="C29" s="631">
        <v>631162.4</v>
      </c>
      <c r="D29" s="632">
        <v>1.1000000000000001</v>
      </c>
      <c r="E29" s="632">
        <v>44.4</v>
      </c>
      <c r="F29" s="632">
        <v>25.2</v>
      </c>
    </row>
    <row r="30" spans="1:6" ht="16.5" customHeight="1" x14ac:dyDescent="0.3">
      <c r="A30" s="633" t="s">
        <v>18</v>
      </c>
      <c r="B30" s="634">
        <f>AVERAGE(B24:B29)</f>
        <v>4707029</v>
      </c>
      <c r="C30" s="635">
        <f>AVERAGE(C24:C29)</f>
        <v>622163.05000000005</v>
      </c>
      <c r="D30" s="636">
        <f>AVERAGE(D24:D29)</f>
        <v>1.0999999999999999</v>
      </c>
      <c r="E30" s="636">
        <f>AVERAGE(E24:E29)</f>
        <v>44.099999999999994</v>
      </c>
      <c r="F30" s="636">
        <f>AVERAGE(F24:F29)</f>
        <v>25.266666666666666</v>
      </c>
    </row>
    <row r="31" spans="1:6" ht="16.5" customHeight="1" x14ac:dyDescent="0.3">
      <c r="A31" s="637" t="s">
        <v>19</v>
      </c>
      <c r="B31" s="638">
        <f>(STDEV(B24:B29)/B30)</f>
        <v>3.1206764915363643E-3</v>
      </c>
      <c r="C31" s="639"/>
      <c r="D31" s="639"/>
      <c r="E31" s="639"/>
      <c r="F31" s="640"/>
    </row>
    <row r="32" spans="1:6" s="615" customFormat="1" ht="16.5" customHeight="1" x14ac:dyDescent="0.3">
      <c r="A32" s="641" t="s">
        <v>20</v>
      </c>
      <c r="B32" s="642">
        <f>COUNT(B24:B29)</f>
        <v>6</v>
      </c>
      <c r="C32" s="643"/>
      <c r="D32" s="644"/>
      <c r="E32" s="644"/>
      <c r="F32" s="645"/>
    </row>
    <row r="33" spans="1:6" s="615" customFormat="1" ht="15.75" customHeight="1" x14ac:dyDescent="0.25">
      <c r="A33" s="621"/>
      <c r="B33" s="621"/>
      <c r="C33" s="621"/>
      <c r="D33" s="621"/>
      <c r="E33" s="621"/>
      <c r="F33" s="621"/>
    </row>
    <row r="34" spans="1:6" s="615" customFormat="1" ht="16.5" customHeight="1" x14ac:dyDescent="0.3">
      <c r="A34" s="622" t="s">
        <v>21</v>
      </c>
      <c r="B34" s="646" t="s">
        <v>22</v>
      </c>
      <c r="C34" s="647"/>
      <c r="D34" s="647"/>
      <c r="E34" s="647"/>
      <c r="F34" s="647"/>
    </row>
    <row r="35" spans="1:6" ht="16.5" customHeight="1" x14ac:dyDescent="0.3">
      <c r="A35" s="622"/>
      <c r="B35" s="646" t="s">
        <v>140</v>
      </c>
      <c r="C35" s="647"/>
      <c r="D35" s="647"/>
      <c r="E35" s="647"/>
      <c r="F35" s="647"/>
    </row>
    <row r="36" spans="1:6" ht="16.5" customHeight="1" x14ac:dyDescent="0.3">
      <c r="A36" s="622"/>
      <c r="B36" s="646" t="s">
        <v>24</v>
      </c>
      <c r="C36" s="647"/>
      <c r="D36" s="647"/>
      <c r="E36" s="647"/>
      <c r="F36" s="647"/>
    </row>
    <row r="37" spans="1:6" ht="15.75" customHeight="1" x14ac:dyDescent="0.25">
      <c r="A37" s="621"/>
      <c r="B37" s="621"/>
      <c r="C37" s="621"/>
      <c r="D37" s="621"/>
      <c r="E37" s="621"/>
      <c r="F37" s="621"/>
    </row>
    <row r="38" spans="1:6" ht="16.5" customHeight="1" x14ac:dyDescent="0.3">
      <c r="A38" s="617" t="s">
        <v>1</v>
      </c>
      <c r="B38" s="618" t="s">
        <v>25</v>
      </c>
    </row>
    <row r="39" spans="1:6" ht="16.5" customHeight="1" x14ac:dyDescent="0.3">
      <c r="A39" s="622" t="s">
        <v>4</v>
      </c>
      <c r="B39" s="619" t="s">
        <v>135</v>
      </c>
      <c r="C39" s="621"/>
      <c r="D39" s="621"/>
      <c r="E39" s="621"/>
      <c r="F39" s="621"/>
    </row>
    <row r="40" spans="1:6" ht="16.5" customHeight="1" x14ac:dyDescent="0.3">
      <c r="A40" s="622" t="s">
        <v>6</v>
      </c>
      <c r="B40" s="623">
        <v>97.21</v>
      </c>
      <c r="C40" s="621"/>
      <c r="D40" s="621"/>
      <c r="E40" s="621"/>
      <c r="F40" s="621"/>
    </row>
    <row r="41" spans="1:6" ht="16.5" customHeight="1" x14ac:dyDescent="0.3">
      <c r="A41" s="619" t="s">
        <v>8</v>
      </c>
      <c r="B41" s="623">
        <v>28.47</v>
      </c>
      <c r="C41" s="621"/>
      <c r="D41" s="621"/>
      <c r="E41" s="621"/>
      <c r="F41" s="621"/>
    </row>
    <row r="42" spans="1:6" ht="16.5" customHeight="1" x14ac:dyDescent="0.3">
      <c r="A42" s="619" t="s">
        <v>10</v>
      </c>
      <c r="B42" s="624">
        <v>0.56940000000000002</v>
      </c>
      <c r="C42" s="621"/>
      <c r="D42" s="621"/>
      <c r="E42" s="621"/>
      <c r="F42" s="621"/>
    </row>
    <row r="43" spans="1:6" ht="15.75" customHeight="1" x14ac:dyDescent="0.25">
      <c r="A43" s="621"/>
      <c r="B43" s="621"/>
      <c r="C43" s="621"/>
      <c r="D43" s="621"/>
      <c r="E43" s="621"/>
      <c r="F43" s="621"/>
    </row>
    <row r="44" spans="1:6" ht="16.5" customHeight="1" x14ac:dyDescent="0.3">
      <c r="A44" s="625" t="s">
        <v>13</v>
      </c>
      <c r="B44" s="626" t="s">
        <v>14</v>
      </c>
      <c r="C44" s="625" t="s">
        <v>15</v>
      </c>
      <c r="D44" s="625" t="s">
        <v>16</v>
      </c>
      <c r="E44" s="625" t="s">
        <v>139</v>
      </c>
      <c r="F44" s="625" t="s">
        <v>17</v>
      </c>
    </row>
    <row r="45" spans="1:6" ht="16.5" customHeight="1" x14ac:dyDescent="0.3">
      <c r="A45" s="627">
        <v>1</v>
      </c>
      <c r="B45" s="628">
        <v>2102763</v>
      </c>
      <c r="C45" s="628">
        <v>11384</v>
      </c>
      <c r="D45" s="629">
        <v>1.53</v>
      </c>
      <c r="E45" s="629">
        <v>2.23</v>
      </c>
      <c r="F45" s="630">
        <v>8.68</v>
      </c>
    </row>
    <row r="46" spans="1:6" ht="16.5" customHeight="1" x14ac:dyDescent="0.3">
      <c r="A46" s="627">
        <v>2</v>
      </c>
      <c r="B46" s="628">
        <v>2105212</v>
      </c>
      <c r="C46" s="628">
        <v>11177</v>
      </c>
      <c r="D46" s="629">
        <v>1.5</v>
      </c>
      <c r="E46" s="629">
        <v>2.2000000000000002</v>
      </c>
      <c r="F46" s="629">
        <v>8.69</v>
      </c>
    </row>
    <row r="47" spans="1:6" ht="16.5" customHeight="1" x14ac:dyDescent="0.3">
      <c r="A47" s="627">
        <v>3</v>
      </c>
      <c r="B47" s="628">
        <v>2110501</v>
      </c>
      <c r="C47" s="628">
        <v>11050</v>
      </c>
      <c r="D47" s="629">
        <v>1.5</v>
      </c>
      <c r="E47" s="629">
        <v>2.19</v>
      </c>
      <c r="F47" s="629">
        <v>8.69</v>
      </c>
    </row>
    <row r="48" spans="1:6" ht="16.5" customHeight="1" x14ac:dyDescent="0.3">
      <c r="A48" s="627">
        <v>4</v>
      </c>
      <c r="B48" s="628">
        <v>2103257</v>
      </c>
      <c r="C48" s="628">
        <v>11095</v>
      </c>
      <c r="D48" s="629">
        <v>1.59</v>
      </c>
      <c r="E48" s="629">
        <v>2.2000000000000002</v>
      </c>
      <c r="F48" s="629">
        <v>8.68</v>
      </c>
    </row>
    <row r="49" spans="1:8" ht="16.5" customHeight="1" x14ac:dyDescent="0.3">
      <c r="A49" s="627">
        <v>5</v>
      </c>
      <c r="B49" s="628">
        <v>2127510</v>
      </c>
      <c r="C49" s="628">
        <v>11438</v>
      </c>
      <c r="D49" s="629">
        <v>1.57</v>
      </c>
      <c r="E49" s="629">
        <v>2.21</v>
      </c>
      <c r="F49" s="629">
        <v>8.68</v>
      </c>
    </row>
    <row r="50" spans="1:8" ht="16.5" customHeight="1" x14ac:dyDescent="0.3">
      <c r="A50" s="627">
        <v>6</v>
      </c>
      <c r="B50" s="631">
        <v>2117497</v>
      </c>
      <c r="C50" s="631">
        <v>11266</v>
      </c>
      <c r="D50" s="632">
        <v>1.61</v>
      </c>
      <c r="E50" s="632">
        <v>2.17</v>
      </c>
      <c r="F50" s="632">
        <v>8.68</v>
      </c>
    </row>
    <row r="51" spans="1:8" ht="16.5" customHeight="1" x14ac:dyDescent="0.3">
      <c r="A51" s="633" t="s">
        <v>18</v>
      </c>
      <c r="B51" s="634">
        <f>AVERAGE(B45:B50)</f>
        <v>2111123.3333333335</v>
      </c>
      <c r="C51" s="635">
        <f>AVERAGE(C45:C50)</f>
        <v>11235</v>
      </c>
      <c r="D51" s="636">
        <f>AVERAGE(D45:D50)</f>
        <v>1.55</v>
      </c>
      <c r="E51" s="636">
        <f>AVERAGE(E45:E50)</f>
        <v>2.2000000000000002</v>
      </c>
      <c r="F51" s="636">
        <f>AVERAGE(F45:F50)</f>
        <v>8.6833333333333318</v>
      </c>
    </row>
    <row r="52" spans="1:8" ht="16.5" customHeight="1" x14ac:dyDescent="0.3">
      <c r="A52" s="637" t="s">
        <v>19</v>
      </c>
      <c r="B52" s="638">
        <f>(STDEV(B45:B50)/B51)</f>
        <v>4.6229564332500904E-3</v>
      </c>
      <c r="C52" s="639"/>
      <c r="D52" s="639"/>
      <c r="E52" s="639"/>
      <c r="F52" s="640"/>
    </row>
    <row r="53" spans="1:8" s="615" customFormat="1" ht="16.5" customHeight="1" x14ac:dyDescent="0.3">
      <c r="A53" s="641" t="s">
        <v>20</v>
      </c>
      <c r="B53" s="642">
        <f>COUNT(B45:B50)</f>
        <v>6</v>
      </c>
      <c r="C53" s="643"/>
      <c r="D53" s="644"/>
      <c r="E53" s="644"/>
      <c r="F53" s="645"/>
    </row>
    <row r="54" spans="1:8" s="615" customFormat="1" ht="15.75" customHeight="1" x14ac:dyDescent="0.25">
      <c r="A54" s="621"/>
      <c r="B54" s="621"/>
      <c r="C54" s="621"/>
      <c r="D54" s="621"/>
      <c r="E54" s="621"/>
      <c r="F54" s="621"/>
    </row>
    <row r="55" spans="1:8" s="615" customFormat="1" ht="16.5" customHeight="1" x14ac:dyDescent="0.3">
      <c r="A55" s="622" t="s">
        <v>21</v>
      </c>
      <c r="B55" s="646" t="s">
        <v>22</v>
      </c>
      <c r="C55" s="647"/>
      <c r="D55" s="647"/>
      <c r="E55" s="647"/>
      <c r="F55" s="647"/>
    </row>
    <row r="56" spans="1:8" ht="16.5" customHeight="1" x14ac:dyDescent="0.3">
      <c r="A56" s="622"/>
      <c r="B56" s="646" t="s">
        <v>23</v>
      </c>
      <c r="C56" s="647"/>
      <c r="D56" s="647"/>
      <c r="E56" s="647"/>
      <c r="F56" s="647"/>
    </row>
    <row r="57" spans="1:8" ht="16.5" customHeight="1" x14ac:dyDescent="0.3">
      <c r="A57" s="622"/>
      <c r="B57" s="646" t="s">
        <v>24</v>
      </c>
      <c r="C57" s="647"/>
      <c r="D57" s="647"/>
      <c r="E57" s="647"/>
      <c r="F57" s="647"/>
    </row>
    <row r="58" spans="1:8" ht="14.25" customHeight="1" thickBot="1" x14ac:dyDescent="0.3">
      <c r="A58" s="648"/>
      <c r="B58" s="649"/>
      <c r="D58" s="650"/>
      <c r="E58" s="651"/>
      <c r="G58" s="652"/>
      <c r="H58" s="652"/>
    </row>
    <row r="59" spans="1:8" ht="15" customHeight="1" x14ac:dyDescent="0.3">
      <c r="B59" s="660" t="s">
        <v>26</v>
      </c>
      <c r="C59" s="660"/>
      <c r="F59" s="653" t="s">
        <v>27</v>
      </c>
      <c r="G59" s="654"/>
      <c r="H59" s="653" t="s">
        <v>28</v>
      </c>
    </row>
    <row r="60" spans="1:8" ht="15" customHeight="1" x14ac:dyDescent="0.3">
      <c r="A60" s="655" t="s">
        <v>29</v>
      </c>
      <c r="B60" s="656" t="s">
        <v>143</v>
      </c>
      <c r="C60" s="656"/>
      <c r="F60" s="710">
        <v>43006</v>
      </c>
      <c r="H60" s="656"/>
    </row>
    <row r="61" spans="1:8" ht="15" customHeight="1" x14ac:dyDescent="0.3">
      <c r="A61" s="655" t="s">
        <v>30</v>
      </c>
      <c r="B61" s="657"/>
      <c r="C61" s="657"/>
      <c r="F61" s="657"/>
      <c r="H61" s="658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4" workbookViewId="0">
      <selection activeCell="F18" sqref="F1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64" t="s">
        <v>31</v>
      </c>
      <c r="B11" s="665"/>
      <c r="C11" s="665"/>
      <c r="D11" s="665"/>
      <c r="E11" s="665"/>
      <c r="F11" s="666"/>
      <c r="G11" s="43"/>
    </row>
    <row r="12" spans="1:7" ht="16.5" customHeight="1" x14ac:dyDescent="0.3">
      <c r="A12" s="663" t="s">
        <v>32</v>
      </c>
      <c r="B12" s="663"/>
      <c r="C12" s="663"/>
      <c r="D12" s="663"/>
      <c r="E12" s="663"/>
      <c r="F12" s="663"/>
      <c r="G12" s="42"/>
    </row>
    <row r="14" spans="1:7" ht="16.5" customHeight="1" x14ac:dyDescent="0.3">
      <c r="A14" s="668" t="s">
        <v>33</v>
      </c>
      <c r="B14" s="668"/>
      <c r="C14" s="12" t="s">
        <v>5</v>
      </c>
    </row>
    <row r="15" spans="1:7" ht="16.5" customHeight="1" x14ac:dyDescent="0.3">
      <c r="A15" s="668" t="s">
        <v>34</v>
      </c>
      <c r="B15" s="668"/>
      <c r="C15" s="12" t="s">
        <v>7</v>
      </c>
    </row>
    <row r="16" spans="1:7" ht="16.5" customHeight="1" x14ac:dyDescent="0.3">
      <c r="A16" s="668" t="s">
        <v>35</v>
      </c>
      <c r="B16" s="668"/>
      <c r="C16" s="12" t="s">
        <v>9</v>
      </c>
    </row>
    <row r="17" spans="1:5" ht="16.5" customHeight="1" x14ac:dyDescent="0.3">
      <c r="A17" s="668" t="s">
        <v>36</v>
      </c>
      <c r="B17" s="668"/>
      <c r="C17" s="12" t="s">
        <v>11</v>
      </c>
    </row>
    <row r="18" spans="1:5" ht="16.5" customHeight="1" x14ac:dyDescent="0.3">
      <c r="A18" s="668" t="s">
        <v>37</v>
      </c>
      <c r="B18" s="668"/>
      <c r="C18" s="49" t="s">
        <v>12</v>
      </c>
    </row>
    <row r="19" spans="1:5" ht="16.5" customHeight="1" x14ac:dyDescent="0.3">
      <c r="A19" s="668" t="s">
        <v>38</v>
      </c>
      <c r="B19" s="668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63" t="s">
        <v>1</v>
      </c>
      <c r="B21" s="663"/>
      <c r="C21" s="11" t="s">
        <v>39</v>
      </c>
      <c r="D21" s="18"/>
    </row>
    <row r="22" spans="1:5" ht="15.75" customHeight="1" x14ac:dyDescent="0.3">
      <c r="A22" s="667"/>
      <c r="B22" s="667"/>
      <c r="C22" s="9"/>
      <c r="D22" s="667"/>
      <c r="E22" s="667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1915.08</v>
      </c>
      <c r="D24" s="39">
        <f t="shared" ref="D24:D43" si="0">(C24-$C$46)/$C$46</f>
        <v>8.7576522791701812E-3</v>
      </c>
      <c r="E24" s="5"/>
    </row>
    <row r="25" spans="1:5" ht="15.75" customHeight="1" x14ac:dyDescent="0.3">
      <c r="C25" s="47">
        <v>1886.87</v>
      </c>
      <c r="D25" s="40">
        <f t="shared" si="0"/>
        <v>-6.1018070493150146E-3</v>
      </c>
      <c r="E25" s="5"/>
    </row>
    <row r="26" spans="1:5" ht="15.75" customHeight="1" x14ac:dyDescent="0.3">
      <c r="C26" s="47">
        <v>1922.27</v>
      </c>
      <c r="D26" s="40">
        <f t="shared" si="0"/>
        <v>1.2544944465338534E-2</v>
      </c>
      <c r="E26" s="5"/>
    </row>
    <row r="27" spans="1:5" ht="15.75" customHeight="1" x14ac:dyDescent="0.3">
      <c r="C27" s="47">
        <v>1930.97</v>
      </c>
      <c r="D27" s="40">
        <f t="shared" si="0"/>
        <v>1.7127620685041537E-2</v>
      </c>
      <c r="E27" s="5"/>
    </row>
    <row r="28" spans="1:5" ht="15.75" customHeight="1" x14ac:dyDescent="0.3">
      <c r="C28" s="47">
        <v>1890.69</v>
      </c>
      <c r="D28" s="40">
        <f t="shared" si="0"/>
        <v>-4.0896434677901716E-3</v>
      </c>
      <c r="E28" s="5"/>
    </row>
    <row r="29" spans="1:5" ht="15.75" customHeight="1" x14ac:dyDescent="0.3">
      <c r="C29" s="47">
        <v>1933.04</v>
      </c>
      <c r="D29" s="40">
        <f t="shared" si="0"/>
        <v>1.8217981578694972E-2</v>
      </c>
      <c r="E29" s="5"/>
    </row>
    <row r="30" spans="1:5" ht="15.75" customHeight="1" x14ac:dyDescent="0.3">
      <c r="C30" s="47">
        <v>1910.98</v>
      </c>
      <c r="D30" s="40">
        <f t="shared" si="0"/>
        <v>6.5980002675860667E-3</v>
      </c>
      <c r="E30" s="5"/>
    </row>
    <row r="31" spans="1:5" ht="15.75" customHeight="1" x14ac:dyDescent="0.3">
      <c r="C31" s="47">
        <v>1892.4</v>
      </c>
      <c r="D31" s="40">
        <f t="shared" si="0"/>
        <v>-3.1889105556416361E-3</v>
      </c>
      <c r="E31" s="5"/>
    </row>
    <row r="32" spans="1:5" ht="15.75" customHeight="1" x14ac:dyDescent="0.3">
      <c r="C32" s="47">
        <v>1909.45</v>
      </c>
      <c r="D32" s="40">
        <f t="shared" si="0"/>
        <v>5.7920813461900403E-3</v>
      </c>
      <c r="E32" s="5"/>
    </row>
    <row r="33" spans="1:7" ht="15.75" customHeight="1" x14ac:dyDescent="0.3">
      <c r="C33" s="47">
        <v>1843.52</v>
      </c>
      <c r="D33" s="40">
        <f t="shared" si="0"/>
        <v>-2.8936176488869467E-2</v>
      </c>
      <c r="E33" s="5"/>
    </row>
    <row r="34" spans="1:7" ht="15.75" customHeight="1" x14ac:dyDescent="0.3">
      <c r="C34" s="47">
        <v>1917.4</v>
      </c>
      <c r="D34" s="40">
        <f t="shared" si="0"/>
        <v>9.9796992710910627E-3</v>
      </c>
      <c r="E34" s="5"/>
    </row>
    <row r="35" spans="1:7" ht="15.75" customHeight="1" x14ac:dyDescent="0.3">
      <c r="C35" s="47">
        <v>1864.28</v>
      </c>
      <c r="D35" s="40">
        <f t="shared" si="0"/>
        <v>-1.8000962888750638E-2</v>
      </c>
      <c r="E35" s="5"/>
    </row>
    <row r="36" spans="1:7" ht="15.75" customHeight="1" x14ac:dyDescent="0.3">
      <c r="C36" s="47">
        <v>1913.22</v>
      </c>
      <c r="D36" s="40">
        <f t="shared" si="0"/>
        <v>7.7779077080613211E-3</v>
      </c>
      <c r="E36" s="5"/>
    </row>
    <row r="37" spans="1:7" ht="15.75" customHeight="1" x14ac:dyDescent="0.3">
      <c r="C37" s="47">
        <v>1920.79</v>
      </c>
      <c r="D37" s="40">
        <f t="shared" si="0"/>
        <v>1.1765362763595948E-2</v>
      </c>
      <c r="E37" s="5"/>
    </row>
    <row r="38" spans="1:7" ht="15.75" customHeight="1" x14ac:dyDescent="0.3">
      <c r="C38" s="47">
        <v>1929.78</v>
      </c>
      <c r="D38" s="40">
        <f t="shared" si="0"/>
        <v>1.6500794857289031E-2</v>
      </c>
      <c r="E38" s="5"/>
    </row>
    <row r="39" spans="1:7" ht="15.75" customHeight="1" x14ac:dyDescent="0.3">
      <c r="C39" s="47">
        <v>1881.18</v>
      </c>
      <c r="D39" s="40">
        <f t="shared" si="0"/>
        <v>-9.0989826458792861E-3</v>
      </c>
      <c r="E39" s="5"/>
    </row>
    <row r="40" spans="1:7" ht="15.75" customHeight="1" x14ac:dyDescent="0.3">
      <c r="C40" s="47">
        <v>1883.16</v>
      </c>
      <c r="D40" s="40">
        <f t="shared" si="0"/>
        <v>-8.056028747602046E-3</v>
      </c>
      <c r="E40" s="5"/>
    </row>
    <row r="41" spans="1:7" ht="15.75" customHeight="1" x14ac:dyDescent="0.3">
      <c r="C41" s="47">
        <v>1885</v>
      </c>
      <c r="D41" s="40">
        <f t="shared" si="0"/>
        <v>-7.0868190643545628E-3</v>
      </c>
      <c r="E41" s="5"/>
    </row>
    <row r="42" spans="1:7" ht="15.75" customHeight="1" x14ac:dyDescent="0.3">
      <c r="C42" s="47">
        <v>1859</v>
      </c>
      <c r="D42" s="40">
        <f t="shared" si="0"/>
        <v>-2.0782173284156567E-2</v>
      </c>
      <c r="E42" s="5"/>
    </row>
    <row r="43" spans="1:7" ht="16.5" customHeight="1" x14ac:dyDescent="0.3">
      <c r="C43" s="48">
        <v>1880</v>
      </c>
      <c r="D43" s="41">
        <f t="shared" si="0"/>
        <v>-9.7205410297011019E-3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37969.08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1898.4540000000002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61">
        <f>C46</f>
        <v>1898.4540000000002</v>
      </c>
      <c r="C49" s="45">
        <f>-IF(C46&lt;=80,10%,IF(C46&lt;250,7.5%,5%))</f>
        <v>-0.05</v>
      </c>
      <c r="D49" s="33">
        <f>IF(C46&lt;=80,C46*0.9,IF(C46&lt;250,C46*0.925,C46*0.95))</f>
        <v>1803.5313000000001</v>
      </c>
    </row>
    <row r="50" spans="1:6" ht="17.25" customHeight="1" x14ac:dyDescent="0.3">
      <c r="B50" s="662"/>
      <c r="C50" s="46">
        <f>IF(C46&lt;=80, 10%, IF(C46&lt;250, 7.5%, 5%))</f>
        <v>0.05</v>
      </c>
      <c r="D50" s="33">
        <f>IF(C46&lt;=80, C46*1.1, IF(C46&lt;250, C46*1.075, C46*1.05))</f>
        <v>1993.3767000000003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7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50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52" t="s">
        <v>33</v>
      </c>
      <c r="B18" s="671" t="s">
        <v>5</v>
      </c>
      <c r="C18" s="671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76" t="s">
        <v>131</v>
      </c>
      <c r="C20" s="676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56"/>
    </row>
    <row r="22" spans="1:14" ht="26.25" customHeight="1" x14ac:dyDescent="0.4">
      <c r="A22" s="52" t="s">
        <v>37</v>
      </c>
      <c r="B22" s="57">
        <v>42985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43006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71" t="s">
        <v>131</v>
      </c>
      <c r="C26" s="671"/>
    </row>
    <row r="27" spans="1:14" ht="26.25" customHeight="1" x14ac:dyDescent="0.4">
      <c r="A27" s="61" t="s">
        <v>48</v>
      </c>
      <c r="B27" s="677" t="s">
        <v>132</v>
      </c>
      <c r="C27" s="677"/>
    </row>
    <row r="28" spans="1:14" ht="27" customHeight="1" x14ac:dyDescent="0.4">
      <c r="A28" s="61" t="s">
        <v>6</v>
      </c>
      <c r="B28" s="62">
        <v>99.54</v>
      </c>
    </row>
    <row r="29" spans="1:14" s="3" customFormat="1" ht="27" customHeight="1" x14ac:dyDescent="0.4">
      <c r="A29" s="61" t="s">
        <v>49</v>
      </c>
      <c r="B29" s="63">
        <v>0</v>
      </c>
      <c r="C29" s="678" t="s">
        <v>50</v>
      </c>
      <c r="D29" s="679"/>
      <c r="E29" s="679"/>
      <c r="F29" s="679"/>
      <c r="G29" s="68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99.54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81" t="s">
        <v>53</v>
      </c>
      <c r="D31" s="682"/>
      <c r="E31" s="682"/>
      <c r="F31" s="682"/>
      <c r="G31" s="682"/>
      <c r="H31" s="68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81" t="s">
        <v>55</v>
      </c>
      <c r="D32" s="682"/>
      <c r="E32" s="682"/>
      <c r="F32" s="682"/>
      <c r="G32" s="682"/>
      <c r="H32" s="68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100</v>
      </c>
      <c r="C36" s="51"/>
      <c r="D36" s="684" t="s">
        <v>59</v>
      </c>
      <c r="E36" s="685"/>
      <c r="F36" s="684" t="s">
        <v>60</v>
      </c>
      <c r="G36" s="686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1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</v>
      </c>
      <c r="C38" s="83">
        <v>1</v>
      </c>
      <c r="D38" s="84">
        <v>11537650</v>
      </c>
      <c r="E38" s="85">
        <f>IF(ISBLANK(D38),"-",$D$48/$D$45*D38)</f>
        <v>11857768.240299236</v>
      </c>
      <c r="F38" s="84">
        <v>13251908</v>
      </c>
      <c r="G38" s="86">
        <f>IF(ISBLANK(F38),"-",$D$48/$F$45*F38)</f>
        <v>11781547.330107875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11626860</v>
      </c>
      <c r="E39" s="90">
        <f>IF(ISBLANK(D39),"-",$D$48/$D$45*D39)</f>
        <v>11949453.419232301</v>
      </c>
      <c r="F39" s="89">
        <v>13213208</v>
      </c>
      <c r="G39" s="91">
        <f>IF(ISBLANK(F39),"-",$D$48/$F$45*F39)</f>
        <v>11747141.274642114</v>
      </c>
      <c r="I39" s="688">
        <f>ABS((F43/D43*D42)-F42)/D42</f>
        <v>1.199096461417007E-2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11476779</v>
      </c>
      <c r="E40" s="90">
        <f>IF(ISBLANK(D40),"-",$D$48/$D$45*D40)</f>
        <v>11795208.342004934</v>
      </c>
      <c r="F40" s="89">
        <v>13165186</v>
      </c>
      <c r="G40" s="91">
        <f>IF(ISBLANK(F40),"-",$D$48/$F$45*F40)</f>
        <v>11704447.5383223</v>
      </c>
      <c r="I40" s="68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11547096.333333334</v>
      </c>
      <c r="E42" s="100">
        <f>AVERAGE(E38:E41)</f>
        <v>11867476.667178825</v>
      </c>
      <c r="F42" s="99">
        <f>AVERAGE(F38:F41)</f>
        <v>13210100.666666666</v>
      </c>
      <c r="G42" s="101">
        <f>AVERAGE(G38:G41)</f>
        <v>11744378.71435743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11.73</v>
      </c>
      <c r="E43" s="92"/>
      <c r="F43" s="104">
        <v>13.56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11.73</v>
      </c>
      <c r="E44" s="107"/>
      <c r="F44" s="106">
        <f>F43*$B$34</f>
        <v>13.56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11.676042000000002</v>
      </c>
      <c r="E45" s="110"/>
      <c r="F45" s="109">
        <f>F44*$B$30/100</f>
        <v>13.497624</v>
      </c>
      <c r="H45" s="102"/>
    </row>
    <row r="46" spans="1:14" ht="19.5" customHeight="1" x14ac:dyDescent="0.3">
      <c r="A46" s="689" t="s">
        <v>78</v>
      </c>
      <c r="B46" s="690"/>
      <c r="C46" s="105" t="s">
        <v>79</v>
      </c>
      <c r="D46" s="111">
        <f>D45/$B$45</f>
        <v>0.11676042000000003</v>
      </c>
      <c r="E46" s="112"/>
      <c r="F46" s="113">
        <f>F45/$B$45</f>
        <v>0.13497624</v>
      </c>
      <c r="H46" s="102"/>
    </row>
    <row r="47" spans="1:14" ht="27" customHeight="1" x14ac:dyDescent="0.4">
      <c r="A47" s="691"/>
      <c r="B47" s="692"/>
      <c r="C47" s="114" t="s">
        <v>80</v>
      </c>
      <c r="D47" s="115">
        <v>0.12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12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12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11805927.690768128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7.3599681117885877E-3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129" t="s">
        <v>87</v>
      </c>
      <c r="B56" s="130">
        <v>300</v>
      </c>
      <c r="C56" s="51" t="str">
        <f>B20</f>
        <v>Tenofovir Disoproxil Fumarate</v>
      </c>
      <c r="H56" s="131"/>
    </row>
    <row r="57" spans="1:12" ht="18.75" x14ac:dyDescent="0.3">
      <c r="A57" s="128" t="s">
        <v>88</v>
      </c>
      <c r="B57" s="199">
        <f>Uniformity!C46</f>
        <v>1898.4540000000002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200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4</v>
      </c>
      <c r="C60" s="693" t="s">
        <v>94</v>
      </c>
      <c r="D60" s="696">
        <v>1914.42</v>
      </c>
      <c r="E60" s="134">
        <v>1</v>
      </c>
      <c r="F60" s="135">
        <v>11518747</v>
      </c>
      <c r="G60" s="200">
        <f>IF(ISBLANK(F60),"-",(F60/$D$50*$D$47*$B$68)*($B$57/$D$60))</f>
        <v>290.26136353967627</v>
      </c>
      <c r="H60" s="218">
        <f t="shared" ref="H60:H71" si="0">IF(ISBLANK(F60),"-",(G60/$B$56)*100)</f>
        <v>96.753787846558765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94"/>
      <c r="D61" s="697"/>
      <c r="E61" s="136">
        <v>2</v>
      </c>
      <c r="F61" s="89">
        <v>11503838</v>
      </c>
      <c r="G61" s="201">
        <f>IF(ISBLANK(F61),"-",(F61/$D$50*$D$47*$B$68)*($B$57/$D$60))</f>
        <v>289.8856710560222</v>
      </c>
      <c r="H61" s="219">
        <f t="shared" si="0"/>
        <v>96.628557018674073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94"/>
      <c r="D62" s="697"/>
      <c r="E62" s="136">
        <v>3</v>
      </c>
      <c r="F62" s="137">
        <v>11502873</v>
      </c>
      <c r="G62" s="201">
        <f>IF(ISBLANK(F62),"-",(F62/$D$50*$D$47*$B$68)*($B$57/$D$60))</f>
        <v>289.86135398266208</v>
      </c>
      <c r="H62" s="219">
        <f t="shared" si="0"/>
        <v>96.620451327554022</v>
      </c>
      <c r="L62" s="64"/>
    </row>
    <row r="63" spans="1:12" ht="27" customHeight="1" x14ac:dyDescent="0.4">
      <c r="A63" s="76" t="s">
        <v>97</v>
      </c>
      <c r="B63" s="77">
        <v>1</v>
      </c>
      <c r="C63" s="695"/>
      <c r="D63" s="698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93" t="s">
        <v>99</v>
      </c>
      <c r="D64" s="696">
        <v>1892.9</v>
      </c>
      <c r="E64" s="134">
        <v>1</v>
      </c>
      <c r="F64" s="135">
        <v>11716561</v>
      </c>
      <c r="G64" s="200">
        <f>IF(ISBLANK(F64),"-",(F64/$D$50*$D$47*$B$68)*($B$57/$D$64))</f>
        <v>298.60267985892307</v>
      </c>
      <c r="H64" s="218">
        <f t="shared" si="0"/>
        <v>99.534226619641018</v>
      </c>
    </row>
    <row r="65" spans="1:8" ht="26.25" customHeight="1" x14ac:dyDescent="0.4">
      <c r="A65" s="76" t="s">
        <v>100</v>
      </c>
      <c r="B65" s="77">
        <v>1</v>
      </c>
      <c r="C65" s="694"/>
      <c r="D65" s="697"/>
      <c r="E65" s="136">
        <v>2</v>
      </c>
      <c r="F65" s="89">
        <v>11686031</v>
      </c>
      <c r="G65" s="201">
        <f>IF(ISBLANK(F65),"-",(F65/$D$50*$D$47*$B$68)*($B$57/$D$64))</f>
        <v>297.82460685472898</v>
      </c>
      <c r="H65" s="219">
        <f t="shared" si="0"/>
        <v>99.274868951576323</v>
      </c>
    </row>
    <row r="66" spans="1:8" ht="26.25" customHeight="1" x14ac:dyDescent="0.4">
      <c r="A66" s="76" t="s">
        <v>101</v>
      </c>
      <c r="B66" s="77">
        <v>1</v>
      </c>
      <c r="C66" s="694"/>
      <c r="D66" s="697"/>
      <c r="E66" s="136">
        <v>3</v>
      </c>
      <c r="F66" s="89">
        <v>11723648</v>
      </c>
      <c r="G66" s="201">
        <f>IF(ISBLANK(F66),"-",(F66/$D$50*$D$47*$B$68)*($B$57/$D$64))</f>
        <v>298.7832957574073</v>
      </c>
      <c r="H66" s="219">
        <f t="shared" si="0"/>
        <v>99.594431919135758</v>
      </c>
    </row>
    <row r="67" spans="1:8" ht="27" customHeight="1" x14ac:dyDescent="0.4">
      <c r="A67" s="76" t="s">
        <v>102</v>
      </c>
      <c r="B67" s="77">
        <v>1</v>
      </c>
      <c r="C67" s="695"/>
      <c r="D67" s="698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2500</v>
      </c>
      <c r="C68" s="693" t="s">
        <v>104</v>
      </c>
      <c r="D68" s="696">
        <v>1906.12</v>
      </c>
      <c r="E68" s="134">
        <v>1</v>
      </c>
      <c r="F68" s="135">
        <v>11989102</v>
      </c>
      <c r="G68" s="200">
        <f>IF(ISBLANK(F68),"-",(F68/$D$50*$D$47*$B$68)*($B$57/$D$68))</f>
        <v>303.42938104966271</v>
      </c>
      <c r="H68" s="219">
        <f t="shared" si="0"/>
        <v>101.14312701655423</v>
      </c>
    </row>
    <row r="69" spans="1:8" ht="27" customHeight="1" x14ac:dyDescent="0.4">
      <c r="A69" s="124" t="s">
        <v>105</v>
      </c>
      <c r="B69" s="141">
        <f>(D47*B68)/B56*B57</f>
        <v>1898.4540000000002</v>
      </c>
      <c r="C69" s="694"/>
      <c r="D69" s="697"/>
      <c r="E69" s="136">
        <v>2</v>
      </c>
      <c r="F69" s="89">
        <v>11916329</v>
      </c>
      <c r="G69" s="201">
        <f>IF(ISBLANK(F69),"-",(F69/$D$50*$D$47*$B$68)*($B$57/$D$68))</f>
        <v>301.58758619737705</v>
      </c>
      <c r="H69" s="219">
        <f t="shared" si="0"/>
        <v>100.52919539912568</v>
      </c>
    </row>
    <row r="70" spans="1:8" ht="26.25" customHeight="1" x14ac:dyDescent="0.4">
      <c r="A70" s="706" t="s">
        <v>78</v>
      </c>
      <c r="B70" s="707"/>
      <c r="C70" s="694"/>
      <c r="D70" s="697"/>
      <c r="E70" s="136">
        <v>3</v>
      </c>
      <c r="F70" s="89">
        <v>11982950</v>
      </c>
      <c r="G70" s="201">
        <f>IF(ISBLANK(F70),"-",(F70/$D$50*$D$47*$B$68)*($B$57/$D$68))</f>
        <v>303.27368151918762</v>
      </c>
      <c r="H70" s="219">
        <f t="shared" si="0"/>
        <v>101.09122717306253</v>
      </c>
    </row>
    <row r="71" spans="1:8" ht="27" customHeight="1" x14ac:dyDescent="0.4">
      <c r="A71" s="708"/>
      <c r="B71" s="709"/>
      <c r="C71" s="705"/>
      <c r="D71" s="698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297.05662442396078</v>
      </c>
      <c r="H72" s="221">
        <f>AVERAGE(H60:H71)</f>
        <v>99.018874807986933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1.9010443781067501E-2</v>
      </c>
      <c r="H73" s="205">
        <f>STDEV(H60:H71)/H72</f>
        <v>1.901044378106747E-2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701" t="str">
        <f>B26</f>
        <v>Tenofovir Disoproxil Fumarate</v>
      </c>
      <c r="D76" s="701"/>
      <c r="E76" s="150" t="s">
        <v>108</v>
      </c>
      <c r="F76" s="150"/>
      <c r="G76" s="237">
        <f>H72</f>
        <v>99.018874807986933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87" t="str">
        <f>B26</f>
        <v>Tenofovir Disoproxil Fumarate</v>
      </c>
      <c r="C79" s="687"/>
    </row>
    <row r="80" spans="1:8" ht="26.25" customHeight="1" x14ac:dyDescent="0.4">
      <c r="A80" s="61" t="s">
        <v>48</v>
      </c>
      <c r="B80" s="687" t="str">
        <f>B27</f>
        <v>T11-10</v>
      </c>
      <c r="C80" s="687"/>
    </row>
    <row r="81" spans="1:12" ht="27" customHeight="1" x14ac:dyDescent="0.4">
      <c r="A81" s="61" t="s">
        <v>6</v>
      </c>
      <c r="B81" s="153">
        <f>B28</f>
        <v>99.54</v>
      </c>
    </row>
    <row r="82" spans="1:12" s="3" customFormat="1" ht="27" customHeight="1" x14ac:dyDescent="0.4">
      <c r="A82" s="61" t="s">
        <v>49</v>
      </c>
      <c r="B82" s="63">
        <v>0</v>
      </c>
      <c r="C82" s="678" t="s">
        <v>50</v>
      </c>
      <c r="D82" s="679"/>
      <c r="E82" s="679"/>
      <c r="F82" s="679"/>
      <c r="G82" s="68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99.54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81" t="s">
        <v>111</v>
      </c>
      <c r="D84" s="682"/>
      <c r="E84" s="682"/>
      <c r="F84" s="682"/>
      <c r="G84" s="682"/>
      <c r="H84" s="68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81" t="s">
        <v>112</v>
      </c>
      <c r="D85" s="682"/>
      <c r="E85" s="682"/>
      <c r="F85" s="682"/>
      <c r="G85" s="682"/>
      <c r="H85" s="68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54" t="s">
        <v>59</v>
      </c>
      <c r="E89" s="155"/>
      <c r="F89" s="684" t="s">
        <v>60</v>
      </c>
      <c r="G89" s="686"/>
    </row>
    <row r="90" spans="1:12" ht="27" customHeight="1" x14ac:dyDescent="0.4">
      <c r="A90" s="76" t="s">
        <v>61</v>
      </c>
      <c r="B90" s="77">
        <v>1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</v>
      </c>
      <c r="C91" s="158">
        <v>1</v>
      </c>
      <c r="D91" s="84">
        <v>3625163</v>
      </c>
      <c r="E91" s="85">
        <f>IF(ISBLANK(D91),"-",$D$101/$D$98*D91)</f>
        <v>3605857.2403352447</v>
      </c>
      <c r="F91" s="84">
        <v>3471667</v>
      </c>
      <c r="G91" s="86">
        <f>IF(ISBLANK(F91),"-",$D$101/$F$98*F91)</f>
        <v>3590642.21155131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3632049</v>
      </c>
      <c r="E92" s="90">
        <f>IF(ISBLANK(D92),"-",$D$101/$D$98*D92)</f>
        <v>3612706.569029416</v>
      </c>
      <c r="F92" s="89">
        <v>3471397</v>
      </c>
      <c r="G92" s="91">
        <f>IF(ISBLANK(F92),"-",$D$101/$F$98*F92)</f>
        <v>3590362.9585592691</v>
      </c>
      <c r="I92" s="688">
        <f>ABS((F96/D96*D95)-F95)/D95</f>
        <v>5.3356914765098646E-3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3631514</v>
      </c>
      <c r="E93" s="90">
        <f>IF(ISBLANK(D93),"-",$D$101/$D$98*D93)</f>
        <v>3612174.4181651431</v>
      </c>
      <c r="F93" s="89">
        <v>3470701</v>
      </c>
      <c r="G93" s="91">
        <f>IF(ISBLANK(F93),"-",$D$101/$F$98*F93)</f>
        <v>3589643.1064020088</v>
      </c>
      <c r="I93" s="68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3629575.3333333335</v>
      </c>
      <c r="E95" s="100">
        <f>AVERAGE(E91:E94)</f>
        <v>3610246.0758432676</v>
      </c>
      <c r="F95" s="163">
        <f>AVERAGE(F91:F94)</f>
        <v>3471255</v>
      </c>
      <c r="G95" s="164">
        <f>AVERAGE(G91:G94)</f>
        <v>3590216.0921708629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15.15</v>
      </c>
      <c r="E96" s="92"/>
      <c r="F96" s="104">
        <v>14.57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15.15</v>
      </c>
      <c r="E97" s="107"/>
      <c r="F97" s="106">
        <f>F96*$B$87</f>
        <v>14.57</v>
      </c>
    </row>
    <row r="98" spans="1:10" ht="19.5" customHeight="1" x14ac:dyDescent="0.3">
      <c r="A98" s="76" t="s">
        <v>76</v>
      </c>
      <c r="B98" s="169">
        <f>(B97/B96)*(B95/B94)*(B93/B92)*(B91/B90)*B89</f>
        <v>50</v>
      </c>
      <c r="C98" s="167" t="s">
        <v>115</v>
      </c>
      <c r="D98" s="170">
        <f>D97*$B$83/100</f>
        <v>15.080310000000003</v>
      </c>
      <c r="E98" s="110"/>
      <c r="F98" s="109">
        <f>F97*$B$83/100</f>
        <v>14.502978000000001</v>
      </c>
    </row>
    <row r="99" spans="1:10" ht="19.5" customHeight="1" x14ac:dyDescent="0.3">
      <c r="A99" s="689" t="s">
        <v>78</v>
      </c>
      <c r="B99" s="703"/>
      <c r="C99" s="167" t="s">
        <v>116</v>
      </c>
      <c r="D99" s="171">
        <f>D98/$B$98</f>
        <v>0.30160620000000005</v>
      </c>
      <c r="E99" s="110"/>
      <c r="F99" s="113">
        <f>F98/$B$98</f>
        <v>0.29005955999999999</v>
      </c>
      <c r="G99" s="172"/>
      <c r="H99" s="102"/>
    </row>
    <row r="100" spans="1:10" ht="19.5" customHeight="1" x14ac:dyDescent="0.3">
      <c r="A100" s="691"/>
      <c r="B100" s="704"/>
      <c r="C100" s="167" t="s">
        <v>80</v>
      </c>
      <c r="D100" s="173">
        <f>$B$56/$B$116</f>
        <v>0.3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15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15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3600231.0840070657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3.1212265859601107E-3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1000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3305589</v>
      </c>
      <c r="E108" s="202">
        <f t="shared" ref="E108:E113" si="1">IF(ISBLANK(D108),"-",D108/$D$103*$D$100*$B$116)</f>
        <v>275.44806898791103</v>
      </c>
      <c r="F108" s="229">
        <f t="shared" ref="F108:F113" si="2">IF(ISBLANK(D108), "-", (E108/$B$56)*100)</f>
        <v>91.816022995970343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3388985</v>
      </c>
      <c r="E109" s="203">
        <f t="shared" si="1"/>
        <v>282.39728958409398</v>
      </c>
      <c r="F109" s="230">
        <f t="shared" si="2"/>
        <v>94.13242986136467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3318479</v>
      </c>
      <c r="E110" s="203">
        <f t="shared" si="1"/>
        <v>276.52216670824293</v>
      </c>
      <c r="F110" s="230">
        <f t="shared" si="2"/>
        <v>92.174055569414321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3263536</v>
      </c>
      <c r="E111" s="203">
        <f t="shared" si="1"/>
        <v>271.94387725531857</v>
      </c>
      <c r="F111" s="230">
        <f t="shared" si="2"/>
        <v>90.647959085106194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3212610</v>
      </c>
      <c r="E112" s="203">
        <f t="shared" si="1"/>
        <v>267.70031631617024</v>
      </c>
      <c r="F112" s="230">
        <f t="shared" si="2"/>
        <v>89.233438772056743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3321302</v>
      </c>
      <c r="E113" s="204">
        <f t="shared" si="1"/>
        <v>276.75740160851421</v>
      </c>
      <c r="F113" s="231">
        <f t="shared" si="2"/>
        <v>92.252467202838076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275.12818674337518</v>
      </c>
      <c r="F115" s="233">
        <f>AVERAGE(F108:F113)</f>
        <v>91.709395581125065</v>
      </c>
    </row>
    <row r="116" spans="1:10" ht="27" customHeight="1" x14ac:dyDescent="0.4">
      <c r="A116" s="76" t="s">
        <v>103</v>
      </c>
      <c r="B116" s="108">
        <f>(B115/B114)*(B113/B112)*(B111/B110)*(B109/B108)*B107</f>
        <v>1000</v>
      </c>
      <c r="C116" s="186"/>
      <c r="D116" s="210" t="s">
        <v>84</v>
      </c>
      <c r="E116" s="208">
        <f>STDEV(E108:E113)/E115</f>
        <v>1.8016582729208509E-2</v>
      </c>
      <c r="F116" s="187">
        <f>STDEV(F108:F113)/F115</f>
        <v>1.8016582729208554E-2</v>
      </c>
      <c r="I116" s="50"/>
    </row>
    <row r="117" spans="1:10" ht="27" customHeight="1" x14ac:dyDescent="0.4">
      <c r="A117" s="689" t="s">
        <v>78</v>
      </c>
      <c r="B117" s="690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91"/>
      <c r="B118" s="692"/>
      <c r="C118" s="50"/>
      <c r="D118" s="212"/>
      <c r="E118" s="669" t="s">
        <v>123</v>
      </c>
      <c r="F118" s="670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267.70031631617024</v>
      </c>
      <c r="F119" s="234">
        <f>MIN(F108:F113)</f>
        <v>89.233438772056743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282.39728958409398</v>
      </c>
      <c r="F120" s="235">
        <f>MAX(F108:F113)</f>
        <v>94.13242986136467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701" t="str">
        <f>B26</f>
        <v>Tenofovir Disoproxil Fumarate</v>
      </c>
      <c r="D124" s="701"/>
      <c r="E124" s="150" t="s">
        <v>127</v>
      </c>
      <c r="F124" s="150"/>
      <c r="G124" s="236">
        <f>F115</f>
        <v>91.709395581125065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89.233438772056743</v>
      </c>
      <c r="E125" s="161" t="s">
        <v>130</v>
      </c>
      <c r="F125" s="236">
        <f>MAX(F108:F113)</f>
        <v>94.13242986136467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702" t="s">
        <v>26</v>
      </c>
      <c r="C127" s="702"/>
      <c r="E127" s="156" t="s">
        <v>27</v>
      </c>
      <c r="F127" s="191"/>
      <c r="G127" s="702" t="s">
        <v>28</v>
      </c>
      <c r="H127" s="702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238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240" t="s">
        <v>33</v>
      </c>
      <c r="B18" s="671" t="s">
        <v>5</v>
      </c>
      <c r="C18" s="671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76" t="s">
        <v>133</v>
      </c>
      <c r="C20" s="676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244"/>
    </row>
    <row r="22" spans="1:14" ht="26.25" customHeight="1" x14ac:dyDescent="0.4">
      <c r="A22" s="240" t="s">
        <v>37</v>
      </c>
      <c r="B22" s="245">
        <v>42985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43006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71" t="s">
        <v>133</v>
      </c>
      <c r="C26" s="671"/>
    </row>
    <row r="27" spans="1:14" ht="26.25" customHeight="1" x14ac:dyDescent="0.4">
      <c r="A27" s="249" t="s">
        <v>48</v>
      </c>
      <c r="B27" s="677" t="s">
        <v>134</v>
      </c>
      <c r="C27" s="677"/>
    </row>
    <row r="28" spans="1:14" ht="27" customHeight="1" x14ac:dyDescent="0.4">
      <c r="A28" s="249" t="s">
        <v>6</v>
      </c>
      <c r="B28" s="250">
        <v>99.39</v>
      </c>
    </row>
    <row r="29" spans="1:14" s="3" customFormat="1" ht="27" customHeight="1" x14ac:dyDescent="0.4">
      <c r="A29" s="249" t="s">
        <v>49</v>
      </c>
      <c r="B29" s="251">
        <v>0</v>
      </c>
      <c r="C29" s="678" t="s">
        <v>50</v>
      </c>
      <c r="D29" s="679"/>
      <c r="E29" s="679"/>
      <c r="F29" s="679"/>
      <c r="G29" s="680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99.39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81" t="s">
        <v>53</v>
      </c>
      <c r="D31" s="682"/>
      <c r="E31" s="682"/>
      <c r="F31" s="682"/>
      <c r="G31" s="682"/>
      <c r="H31" s="683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81" t="s">
        <v>55</v>
      </c>
      <c r="D32" s="682"/>
      <c r="E32" s="682"/>
      <c r="F32" s="682"/>
      <c r="G32" s="682"/>
      <c r="H32" s="683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100</v>
      </c>
      <c r="C36" s="239"/>
      <c r="D36" s="684" t="s">
        <v>59</v>
      </c>
      <c r="E36" s="685"/>
      <c r="F36" s="684" t="s">
        <v>60</v>
      </c>
      <c r="G36" s="686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1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1</v>
      </c>
      <c r="C38" s="271">
        <v>1</v>
      </c>
      <c r="D38" s="272">
        <v>22804750</v>
      </c>
      <c r="E38" s="273">
        <f>IF(ISBLANK(D38),"-",$D$48/$D$45*D38)</f>
        <v>23412972.191593211</v>
      </c>
      <c r="F38" s="272">
        <v>23294573</v>
      </c>
      <c r="G38" s="274">
        <f>IF(ISBLANK(F38),"-",$D$48/$F$45*F38)</f>
        <v>23167257.337302849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22867196</v>
      </c>
      <c r="E39" s="278">
        <f>IF(ISBLANK(D39),"-",$D$48/$D$45*D39)</f>
        <v>23477083.67983475</v>
      </c>
      <c r="F39" s="277">
        <v>23299796</v>
      </c>
      <c r="G39" s="279">
        <f>IF(ISBLANK(F39),"-",$D$48/$F$45*F39)</f>
        <v>23172451.791181557</v>
      </c>
      <c r="I39" s="688">
        <f>ABS((F43/D43*D42)-F42)/D42</f>
        <v>9.4272017174667801E-3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22586154</v>
      </c>
      <c r="E40" s="278">
        <f>IF(ISBLANK(D40),"-",$D$48/$D$45*D40)</f>
        <v>23188546.049267884</v>
      </c>
      <c r="F40" s="277">
        <v>23225867</v>
      </c>
      <c r="G40" s="279">
        <f>IF(ISBLANK(F40),"-",$D$48/$F$45*F40)</f>
        <v>23098926.847509507</v>
      </c>
      <c r="I40" s="68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22752700</v>
      </c>
      <c r="E42" s="288">
        <f>AVERAGE(E38:E41)</f>
        <v>23359533.97356528</v>
      </c>
      <c r="F42" s="287">
        <f>AVERAGE(F38:F41)</f>
        <v>23273412</v>
      </c>
      <c r="G42" s="289">
        <f>AVERAGE(G38:G41)</f>
        <v>23146211.991997972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11.76</v>
      </c>
      <c r="E43" s="280"/>
      <c r="F43" s="292">
        <v>12.14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11.76</v>
      </c>
      <c r="E44" s="295"/>
      <c r="F44" s="294">
        <f>F43*$B$34</f>
        <v>12.14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11.688263999999998</v>
      </c>
      <c r="E45" s="298"/>
      <c r="F45" s="297">
        <f>F44*$B$30/100</f>
        <v>12.065946000000002</v>
      </c>
      <c r="H45" s="290"/>
    </row>
    <row r="46" spans="1:14" ht="19.5" customHeight="1" x14ac:dyDescent="0.3">
      <c r="A46" s="689" t="s">
        <v>78</v>
      </c>
      <c r="B46" s="690"/>
      <c r="C46" s="293" t="s">
        <v>79</v>
      </c>
      <c r="D46" s="299">
        <f>D45/$B$45</f>
        <v>0.11688263999999998</v>
      </c>
      <c r="E46" s="300"/>
      <c r="F46" s="301">
        <f>F45/$B$45</f>
        <v>0.12065946000000002</v>
      </c>
      <c r="H46" s="290"/>
    </row>
    <row r="47" spans="1:14" ht="27" customHeight="1" x14ac:dyDescent="0.4">
      <c r="A47" s="691"/>
      <c r="B47" s="692"/>
      <c r="C47" s="302" t="s">
        <v>80</v>
      </c>
      <c r="D47" s="303">
        <v>0.12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12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12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23252872.982781623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6.5936514811268153E-3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317" t="s">
        <v>87</v>
      </c>
      <c r="B56" s="318">
        <v>300</v>
      </c>
      <c r="C56" s="239" t="str">
        <f>B20</f>
        <v xml:space="preserve"> Lamivudine</v>
      </c>
      <c r="H56" s="319"/>
    </row>
    <row r="57" spans="1:12" ht="18.75" x14ac:dyDescent="0.3">
      <c r="A57" s="316" t="s">
        <v>88</v>
      </c>
      <c r="B57" s="387">
        <f>Uniformity!C46</f>
        <v>1898.4540000000002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200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4</v>
      </c>
      <c r="C60" s="693" t="s">
        <v>94</v>
      </c>
      <c r="D60" s="696">
        <v>1914.42</v>
      </c>
      <c r="E60" s="322">
        <v>1</v>
      </c>
      <c r="F60" s="323">
        <v>22185908</v>
      </c>
      <c r="G60" s="388">
        <f>IF(ISBLANK(F60),"-",(F60/$D$50*$D$47*$B$68)*($B$57/$D$60))</f>
        <v>283.84725520737038</v>
      </c>
      <c r="H60" s="406">
        <f t="shared" ref="H60:H71" si="0">IF(ISBLANK(F60),"-",(G60/$B$56)*100)</f>
        <v>94.615751735790127</v>
      </c>
      <c r="L60" s="252"/>
    </row>
    <row r="61" spans="1:12" s="3" customFormat="1" ht="26.25" customHeight="1" x14ac:dyDescent="0.4">
      <c r="A61" s="264" t="s">
        <v>95</v>
      </c>
      <c r="B61" s="265">
        <v>50</v>
      </c>
      <c r="C61" s="694"/>
      <c r="D61" s="697"/>
      <c r="E61" s="324">
        <v>2</v>
      </c>
      <c r="F61" s="277">
        <v>22189302</v>
      </c>
      <c r="G61" s="389">
        <f>IF(ISBLANK(F61),"-",(F61/$D$50*$D$47*$B$68)*($B$57/$D$60))</f>
        <v>283.89067815783852</v>
      </c>
      <c r="H61" s="407">
        <f t="shared" si="0"/>
        <v>94.630226052612841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94"/>
      <c r="D62" s="697"/>
      <c r="E62" s="324">
        <v>3</v>
      </c>
      <c r="F62" s="325">
        <v>22162322</v>
      </c>
      <c r="G62" s="389">
        <f>IF(ISBLANK(F62),"-",(F62/$D$50*$D$47*$B$68)*($B$57/$D$60))</f>
        <v>283.54549512789475</v>
      </c>
      <c r="H62" s="407">
        <f t="shared" si="0"/>
        <v>94.515165042631594</v>
      </c>
      <c r="L62" s="252"/>
    </row>
    <row r="63" spans="1:12" ht="27" customHeight="1" x14ac:dyDescent="0.4">
      <c r="A63" s="264" t="s">
        <v>97</v>
      </c>
      <c r="B63" s="265">
        <v>1</v>
      </c>
      <c r="C63" s="695"/>
      <c r="D63" s="698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93" t="s">
        <v>99</v>
      </c>
      <c r="D64" s="696">
        <v>1892.9</v>
      </c>
      <c r="E64" s="322">
        <v>1</v>
      </c>
      <c r="F64" s="323">
        <v>22673724</v>
      </c>
      <c r="G64" s="388">
        <f>IF(ISBLANK(F64),"-",(F64/$D$50*$D$47*$B$68)*($B$57/$D$64))</f>
        <v>293.38634621407942</v>
      </c>
      <c r="H64" s="406">
        <f t="shared" si="0"/>
        <v>97.795448738026465</v>
      </c>
    </row>
    <row r="65" spans="1:8" ht="26.25" customHeight="1" x14ac:dyDescent="0.4">
      <c r="A65" s="264" t="s">
        <v>100</v>
      </c>
      <c r="B65" s="265">
        <v>1</v>
      </c>
      <c r="C65" s="694"/>
      <c r="D65" s="697"/>
      <c r="E65" s="324">
        <v>2</v>
      </c>
      <c r="F65" s="277">
        <v>22652187</v>
      </c>
      <c r="G65" s="389">
        <f>IF(ISBLANK(F65),"-",(F65/$D$50*$D$47*$B$68)*($B$57/$D$64))</f>
        <v>293.1076684927483</v>
      </c>
      <c r="H65" s="407">
        <f t="shared" si="0"/>
        <v>97.70255616424943</v>
      </c>
    </row>
    <row r="66" spans="1:8" ht="26.25" customHeight="1" x14ac:dyDescent="0.4">
      <c r="A66" s="264" t="s">
        <v>101</v>
      </c>
      <c r="B66" s="265">
        <v>1</v>
      </c>
      <c r="C66" s="694"/>
      <c r="D66" s="697"/>
      <c r="E66" s="324">
        <v>3</v>
      </c>
      <c r="F66" s="277">
        <v>22697348</v>
      </c>
      <c r="G66" s="389">
        <f>IF(ISBLANK(F66),"-",(F66/$D$50*$D$47*$B$68)*($B$57/$D$64))</f>
        <v>293.69202864379241</v>
      </c>
      <c r="H66" s="407">
        <f t="shared" si="0"/>
        <v>97.897342881264137</v>
      </c>
    </row>
    <row r="67" spans="1:8" ht="27" customHeight="1" x14ac:dyDescent="0.4">
      <c r="A67" s="264" t="s">
        <v>102</v>
      </c>
      <c r="B67" s="265">
        <v>1</v>
      </c>
      <c r="C67" s="695"/>
      <c r="D67" s="698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2500</v>
      </c>
      <c r="C68" s="693" t="s">
        <v>104</v>
      </c>
      <c r="D68" s="696">
        <v>1906.12</v>
      </c>
      <c r="E68" s="322">
        <v>1</v>
      </c>
      <c r="F68" s="323">
        <v>22067934</v>
      </c>
      <c r="G68" s="388">
        <f>IF(ISBLANK(F68),"-",(F68/$D$50*$D$47*$B$68)*($B$57/$D$68))</f>
        <v>283.56730266644627</v>
      </c>
      <c r="H68" s="407">
        <f t="shared" si="0"/>
        <v>94.52243422214876</v>
      </c>
    </row>
    <row r="69" spans="1:8" ht="27" customHeight="1" x14ac:dyDescent="0.4">
      <c r="A69" s="312" t="s">
        <v>105</v>
      </c>
      <c r="B69" s="329">
        <f>(D47*B68)/B56*B57</f>
        <v>1898.4540000000002</v>
      </c>
      <c r="C69" s="694"/>
      <c r="D69" s="697"/>
      <c r="E69" s="324">
        <v>2</v>
      </c>
      <c r="F69" s="277">
        <v>21915194</v>
      </c>
      <c r="G69" s="389">
        <f>IF(ISBLANK(F69),"-",(F69/$D$50*$D$47*$B$68)*($B$57/$D$68))</f>
        <v>281.60463276679582</v>
      </c>
      <c r="H69" s="407">
        <f t="shared" si="0"/>
        <v>93.868210922265277</v>
      </c>
    </row>
    <row r="70" spans="1:8" ht="26.25" customHeight="1" x14ac:dyDescent="0.4">
      <c r="A70" s="706" t="s">
        <v>78</v>
      </c>
      <c r="B70" s="707"/>
      <c r="C70" s="694"/>
      <c r="D70" s="697"/>
      <c r="E70" s="324">
        <v>3</v>
      </c>
      <c r="F70" s="277">
        <v>22022091</v>
      </c>
      <c r="G70" s="389">
        <f>IF(ISBLANK(F70),"-",(F70/$D$50*$D$47*$B$68)*($B$57/$D$68))</f>
        <v>282.97823185192698</v>
      </c>
      <c r="H70" s="407">
        <f t="shared" si="0"/>
        <v>94.326077283975664</v>
      </c>
    </row>
    <row r="71" spans="1:8" ht="27" customHeight="1" x14ac:dyDescent="0.4">
      <c r="A71" s="708"/>
      <c r="B71" s="709"/>
      <c r="C71" s="705"/>
      <c r="D71" s="698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286.62440434765472</v>
      </c>
      <c r="H72" s="409">
        <f>AVERAGE(H60:H71)</f>
        <v>95.541468115884925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1.7884241498679478E-2</v>
      </c>
      <c r="H73" s="393">
        <f>STDEV(H60:H71)/H72</f>
        <v>1.788424149867943E-2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701" t="str">
        <f>B26</f>
        <v xml:space="preserve"> Lamivudine</v>
      </c>
      <c r="D76" s="701"/>
      <c r="E76" s="338" t="s">
        <v>108</v>
      </c>
      <c r="F76" s="338"/>
      <c r="G76" s="425">
        <f>H72</f>
        <v>95.541468115884925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87" t="str">
        <f>B26</f>
        <v xml:space="preserve"> Lamivudine</v>
      </c>
      <c r="C79" s="687"/>
    </row>
    <row r="80" spans="1:8" ht="26.25" customHeight="1" x14ac:dyDescent="0.4">
      <c r="A80" s="249" t="s">
        <v>48</v>
      </c>
      <c r="B80" s="687" t="str">
        <f>B27</f>
        <v>L3-10</v>
      </c>
      <c r="C80" s="687"/>
    </row>
    <row r="81" spans="1:12" ht="27" customHeight="1" x14ac:dyDescent="0.4">
      <c r="A81" s="249" t="s">
        <v>6</v>
      </c>
      <c r="B81" s="341">
        <f>B28</f>
        <v>99.39</v>
      </c>
    </row>
    <row r="82" spans="1:12" s="3" customFormat="1" ht="27" customHeight="1" x14ac:dyDescent="0.4">
      <c r="A82" s="249" t="s">
        <v>49</v>
      </c>
      <c r="B82" s="251">
        <v>0</v>
      </c>
      <c r="C82" s="678" t="s">
        <v>50</v>
      </c>
      <c r="D82" s="679"/>
      <c r="E82" s="679"/>
      <c r="F82" s="679"/>
      <c r="G82" s="680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99.39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81" t="s">
        <v>111</v>
      </c>
      <c r="D84" s="682"/>
      <c r="E84" s="682"/>
      <c r="F84" s="682"/>
      <c r="G84" s="682"/>
      <c r="H84" s="683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81" t="s">
        <v>112</v>
      </c>
      <c r="D85" s="682"/>
      <c r="E85" s="682"/>
      <c r="F85" s="682"/>
      <c r="G85" s="682"/>
      <c r="H85" s="683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50</v>
      </c>
      <c r="D89" s="342" t="s">
        <v>59</v>
      </c>
      <c r="E89" s="343"/>
      <c r="F89" s="684" t="s">
        <v>60</v>
      </c>
      <c r="G89" s="686"/>
    </row>
    <row r="90" spans="1:12" ht="27" customHeight="1" x14ac:dyDescent="0.4">
      <c r="A90" s="264" t="s">
        <v>61</v>
      </c>
      <c r="B90" s="265">
        <v>1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1</v>
      </c>
      <c r="C91" s="346">
        <v>1</v>
      </c>
      <c r="D91" s="272">
        <v>3651773</v>
      </c>
      <c r="E91" s="273">
        <f>IF(ISBLANK(D91),"-",$D$101/$D$98*D91)</f>
        <v>3686473.7776691997</v>
      </c>
      <c r="F91" s="272">
        <v>3767651</v>
      </c>
      <c r="G91" s="274">
        <f>IF(ISBLANK(F91),"-",$D$101/$F$98*F91)</f>
        <v>3694712.2084089159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3698784</v>
      </c>
      <c r="E92" s="278">
        <f>IF(ISBLANK(D92),"-",$D$101/$D$98*D92)</f>
        <v>3733931.497182983</v>
      </c>
      <c r="F92" s="277">
        <v>3795539</v>
      </c>
      <c r="G92" s="279">
        <f>IF(ISBLANK(F92),"-",$D$101/$F$98*F92)</f>
        <v>3722060.3184297504</v>
      </c>
      <c r="I92" s="688">
        <f>ABS((F96/D96*D95)-F95)/D95</f>
        <v>2.5864316921921831E-3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3697792</v>
      </c>
      <c r="E93" s="278">
        <f>IF(ISBLANK(D93),"-",$D$101/$D$98*D93)</f>
        <v>3732930.0707560261</v>
      </c>
      <c r="F93" s="277">
        <v>3781752</v>
      </c>
      <c r="G93" s="279">
        <f>IF(ISBLANK(F93),"-",$D$101/$F$98*F93)</f>
        <v>3708540.2240215014</v>
      </c>
      <c r="I93" s="68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3682783</v>
      </c>
      <c r="E95" s="288">
        <f>AVERAGE(E91:E94)</f>
        <v>3717778.4485360696</v>
      </c>
      <c r="F95" s="351">
        <f>AVERAGE(F91:F94)</f>
        <v>3781647.3333333335</v>
      </c>
      <c r="G95" s="352">
        <f>AVERAGE(G91:G94)</f>
        <v>3708437.583620056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14.95</v>
      </c>
      <c r="E96" s="280"/>
      <c r="F96" s="292">
        <v>15.39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14.95</v>
      </c>
      <c r="E97" s="295"/>
      <c r="F97" s="294">
        <f>F96*$B$87</f>
        <v>15.39</v>
      </c>
    </row>
    <row r="98" spans="1:10" ht="19.5" customHeight="1" x14ac:dyDescent="0.3">
      <c r="A98" s="264" t="s">
        <v>76</v>
      </c>
      <c r="B98" s="357">
        <f>(B97/B96)*(B95/B94)*(B93/B92)*(B91/B90)*B89</f>
        <v>50</v>
      </c>
      <c r="C98" s="355" t="s">
        <v>115</v>
      </c>
      <c r="D98" s="358">
        <f>D97*$B$83/100</f>
        <v>14.858805</v>
      </c>
      <c r="E98" s="298"/>
      <c r="F98" s="297">
        <f>F97*$B$83/100</f>
        <v>15.296121000000001</v>
      </c>
    </row>
    <row r="99" spans="1:10" ht="19.5" customHeight="1" x14ac:dyDescent="0.3">
      <c r="A99" s="689" t="s">
        <v>78</v>
      </c>
      <c r="B99" s="703"/>
      <c r="C99" s="355" t="s">
        <v>116</v>
      </c>
      <c r="D99" s="359">
        <f>D98/$B$98</f>
        <v>0.2971761</v>
      </c>
      <c r="E99" s="298"/>
      <c r="F99" s="301">
        <f>F98/$B$98</f>
        <v>0.30592242000000003</v>
      </c>
      <c r="G99" s="360"/>
      <c r="H99" s="290"/>
    </row>
    <row r="100" spans="1:10" ht="19.5" customHeight="1" x14ac:dyDescent="0.3">
      <c r="A100" s="691"/>
      <c r="B100" s="704"/>
      <c r="C100" s="355" t="s">
        <v>80</v>
      </c>
      <c r="D100" s="361">
        <f>$B$56/$B$116</f>
        <v>0.3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15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15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3713108.0160780628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5.3529973754918017E-3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1000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3773936</v>
      </c>
      <c r="E108" s="390">
        <f t="shared" ref="E108:E113" si="1">IF(ISBLANK(D108),"-",D108/$D$103*$D$100*$B$116)</f>
        <v>304.91458775170668</v>
      </c>
      <c r="F108" s="417">
        <f t="shared" ref="F108:F113" si="2">IF(ISBLANK(D108), "-", (E108/$B$56)*100)</f>
        <v>101.63819591723555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3854401</v>
      </c>
      <c r="E109" s="391">
        <f t="shared" si="1"/>
        <v>311.41574524442547</v>
      </c>
      <c r="F109" s="418">
        <f t="shared" si="2"/>
        <v>103.80524841480849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3779587</v>
      </c>
      <c r="E110" s="391">
        <f t="shared" si="1"/>
        <v>305.37115944115368</v>
      </c>
      <c r="F110" s="418">
        <f t="shared" si="2"/>
        <v>101.79038648038457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3746273</v>
      </c>
      <c r="E111" s="391">
        <f t="shared" si="1"/>
        <v>302.67955985484366</v>
      </c>
      <c r="F111" s="418">
        <f t="shared" si="2"/>
        <v>100.89318661828122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3662456</v>
      </c>
      <c r="E112" s="391">
        <f t="shared" si="1"/>
        <v>295.90757802961275</v>
      </c>
      <c r="F112" s="418">
        <f t="shared" si="2"/>
        <v>98.635859343204245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3779391</v>
      </c>
      <c r="E113" s="392">
        <f t="shared" si="1"/>
        <v>305.35532365082781</v>
      </c>
      <c r="F113" s="419">
        <f t="shared" si="2"/>
        <v>101.78510788360926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304.27399232876166</v>
      </c>
      <c r="F115" s="421">
        <f>AVERAGE(F108:F113)</f>
        <v>101.42466410958723</v>
      </c>
    </row>
    <row r="116" spans="1:10" ht="27" customHeight="1" x14ac:dyDescent="0.4">
      <c r="A116" s="264" t="s">
        <v>103</v>
      </c>
      <c r="B116" s="296">
        <f>(B115/B114)*(B113/B112)*(B111/B110)*(B109/B108)*B107</f>
        <v>1000</v>
      </c>
      <c r="C116" s="374"/>
      <c r="D116" s="398" t="s">
        <v>84</v>
      </c>
      <c r="E116" s="396">
        <f>STDEV(E108:E113)/E115</f>
        <v>1.6519561690111737E-2</v>
      </c>
      <c r="F116" s="375">
        <f>STDEV(F108:F113)/F115</f>
        <v>1.6519561690111744E-2</v>
      </c>
      <c r="I116" s="238"/>
    </row>
    <row r="117" spans="1:10" ht="27" customHeight="1" x14ac:dyDescent="0.4">
      <c r="A117" s="689" t="s">
        <v>78</v>
      </c>
      <c r="B117" s="690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91"/>
      <c r="B118" s="692"/>
      <c r="C118" s="238"/>
      <c r="D118" s="400"/>
      <c r="E118" s="669" t="s">
        <v>123</v>
      </c>
      <c r="F118" s="670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295.90757802961275</v>
      </c>
      <c r="F119" s="422">
        <f>MIN(F108:F113)</f>
        <v>98.635859343204245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311.41574524442547</v>
      </c>
      <c r="F120" s="423">
        <f>MAX(F108:F113)</f>
        <v>103.80524841480849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701" t="str">
        <f>B26</f>
        <v xml:space="preserve"> Lamivudine</v>
      </c>
      <c r="D124" s="701"/>
      <c r="E124" s="338" t="s">
        <v>127</v>
      </c>
      <c r="F124" s="338"/>
      <c r="G124" s="424">
        <f>F115</f>
        <v>101.42466410958723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98.635859343204245</v>
      </c>
      <c r="E125" s="349" t="s">
        <v>130</v>
      </c>
      <c r="F125" s="424">
        <f>MAX(F108:F113)</f>
        <v>103.80524841480849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702" t="s">
        <v>26</v>
      </c>
      <c r="C127" s="702"/>
      <c r="E127" s="344" t="s">
        <v>27</v>
      </c>
      <c r="F127" s="379"/>
      <c r="G127" s="702" t="s">
        <v>28</v>
      </c>
      <c r="H127" s="702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23" zoomScale="50" zoomScaleNormal="40" zoomScalePageLayoutView="50" workbookViewId="0">
      <selection sqref="A1:I12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99" t="s">
        <v>45</v>
      </c>
      <c r="B1" s="699"/>
      <c r="C1" s="699"/>
      <c r="D1" s="699"/>
      <c r="E1" s="699"/>
      <c r="F1" s="699"/>
      <c r="G1" s="699"/>
      <c r="H1" s="699"/>
      <c r="I1" s="699"/>
    </row>
    <row r="2" spans="1:9" ht="18.75" customHeight="1" x14ac:dyDescent="0.25">
      <c r="A2" s="699"/>
      <c r="B2" s="699"/>
      <c r="C2" s="699"/>
      <c r="D2" s="699"/>
      <c r="E2" s="699"/>
      <c r="F2" s="699"/>
      <c r="G2" s="699"/>
      <c r="H2" s="699"/>
      <c r="I2" s="699"/>
    </row>
    <row r="3" spans="1:9" ht="18.75" customHeight="1" x14ac:dyDescent="0.25">
      <c r="A3" s="699"/>
      <c r="B3" s="699"/>
      <c r="C3" s="699"/>
      <c r="D3" s="699"/>
      <c r="E3" s="699"/>
      <c r="F3" s="699"/>
      <c r="G3" s="699"/>
      <c r="H3" s="699"/>
      <c r="I3" s="699"/>
    </row>
    <row r="4" spans="1:9" ht="18.75" customHeight="1" x14ac:dyDescent="0.25">
      <c r="A4" s="699"/>
      <c r="B4" s="699"/>
      <c r="C4" s="699"/>
      <c r="D4" s="699"/>
      <c r="E4" s="699"/>
      <c r="F4" s="699"/>
      <c r="G4" s="699"/>
      <c r="H4" s="699"/>
      <c r="I4" s="699"/>
    </row>
    <row r="5" spans="1:9" ht="18.75" customHeight="1" x14ac:dyDescent="0.25">
      <c r="A5" s="699"/>
      <c r="B5" s="699"/>
      <c r="C5" s="699"/>
      <c r="D5" s="699"/>
      <c r="E5" s="699"/>
      <c r="F5" s="699"/>
      <c r="G5" s="699"/>
      <c r="H5" s="699"/>
      <c r="I5" s="699"/>
    </row>
    <row r="6" spans="1:9" ht="18.75" customHeight="1" x14ac:dyDescent="0.25">
      <c r="A6" s="699"/>
      <c r="B6" s="699"/>
      <c r="C6" s="699"/>
      <c r="D6" s="699"/>
      <c r="E6" s="699"/>
      <c r="F6" s="699"/>
      <c r="G6" s="699"/>
      <c r="H6" s="699"/>
      <c r="I6" s="699"/>
    </row>
    <row r="7" spans="1:9" ht="18.75" customHeight="1" x14ac:dyDescent="0.25">
      <c r="A7" s="699"/>
      <c r="B7" s="699"/>
      <c r="C7" s="699"/>
      <c r="D7" s="699"/>
      <c r="E7" s="699"/>
      <c r="F7" s="699"/>
      <c r="G7" s="699"/>
      <c r="H7" s="699"/>
      <c r="I7" s="699"/>
    </row>
    <row r="8" spans="1:9" x14ac:dyDescent="0.25">
      <c r="A8" s="700" t="s">
        <v>46</v>
      </c>
      <c r="B8" s="700"/>
      <c r="C8" s="700"/>
      <c r="D8" s="700"/>
      <c r="E8" s="700"/>
      <c r="F8" s="700"/>
      <c r="G8" s="700"/>
      <c r="H8" s="700"/>
      <c r="I8" s="700"/>
    </row>
    <row r="9" spans="1:9" x14ac:dyDescent="0.25">
      <c r="A9" s="700"/>
      <c r="B9" s="700"/>
      <c r="C9" s="700"/>
      <c r="D9" s="700"/>
      <c r="E9" s="700"/>
      <c r="F9" s="700"/>
      <c r="G9" s="700"/>
      <c r="H9" s="700"/>
      <c r="I9" s="700"/>
    </row>
    <row r="10" spans="1:9" x14ac:dyDescent="0.25">
      <c r="A10" s="700"/>
      <c r="B10" s="700"/>
      <c r="C10" s="700"/>
      <c r="D10" s="700"/>
      <c r="E10" s="700"/>
      <c r="F10" s="700"/>
      <c r="G10" s="700"/>
      <c r="H10" s="700"/>
      <c r="I10" s="700"/>
    </row>
    <row r="11" spans="1:9" x14ac:dyDescent="0.25">
      <c r="A11" s="700"/>
      <c r="B11" s="700"/>
      <c r="C11" s="700"/>
      <c r="D11" s="700"/>
      <c r="E11" s="700"/>
      <c r="F11" s="700"/>
      <c r="G11" s="700"/>
      <c r="H11" s="700"/>
      <c r="I11" s="700"/>
    </row>
    <row r="12" spans="1:9" x14ac:dyDescent="0.25">
      <c r="A12" s="700"/>
      <c r="B12" s="700"/>
      <c r="C12" s="700"/>
      <c r="D12" s="700"/>
      <c r="E12" s="700"/>
      <c r="F12" s="700"/>
      <c r="G12" s="700"/>
      <c r="H12" s="700"/>
      <c r="I12" s="700"/>
    </row>
    <row r="13" spans="1:9" x14ac:dyDescent="0.25">
      <c r="A13" s="700"/>
      <c r="B13" s="700"/>
      <c r="C13" s="700"/>
      <c r="D13" s="700"/>
      <c r="E13" s="700"/>
      <c r="F13" s="700"/>
      <c r="G13" s="700"/>
      <c r="H13" s="700"/>
      <c r="I13" s="700"/>
    </row>
    <row r="14" spans="1:9" x14ac:dyDescent="0.25">
      <c r="A14" s="700"/>
      <c r="B14" s="700"/>
      <c r="C14" s="700"/>
      <c r="D14" s="700"/>
      <c r="E14" s="700"/>
      <c r="F14" s="700"/>
      <c r="G14" s="700"/>
      <c r="H14" s="700"/>
      <c r="I14" s="700"/>
    </row>
    <row r="15" spans="1:9" ht="19.5" customHeight="1" x14ac:dyDescent="0.3">
      <c r="A15" s="426"/>
    </row>
    <row r="16" spans="1:9" ht="19.5" customHeight="1" x14ac:dyDescent="0.3">
      <c r="A16" s="672" t="s">
        <v>31</v>
      </c>
      <c r="B16" s="673"/>
      <c r="C16" s="673"/>
      <c r="D16" s="673"/>
      <c r="E16" s="673"/>
      <c r="F16" s="673"/>
      <c r="G16" s="673"/>
      <c r="H16" s="674"/>
    </row>
    <row r="17" spans="1:14" ht="20.25" customHeight="1" x14ac:dyDescent="0.25">
      <c r="A17" s="675" t="s">
        <v>47</v>
      </c>
      <c r="B17" s="675"/>
      <c r="C17" s="675"/>
      <c r="D17" s="675"/>
      <c r="E17" s="675"/>
      <c r="F17" s="675"/>
      <c r="G17" s="675"/>
      <c r="H17" s="675"/>
    </row>
    <row r="18" spans="1:14" ht="26.25" customHeight="1" x14ac:dyDescent="0.4">
      <c r="A18" s="428" t="s">
        <v>33</v>
      </c>
      <c r="B18" s="671" t="s">
        <v>5</v>
      </c>
      <c r="C18" s="671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76" t="s">
        <v>135</v>
      </c>
      <c r="C20" s="676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76" t="s">
        <v>11</v>
      </c>
      <c r="C21" s="676"/>
      <c r="D21" s="676"/>
      <c r="E21" s="676"/>
      <c r="F21" s="676"/>
      <c r="G21" s="676"/>
      <c r="H21" s="676"/>
      <c r="I21" s="432"/>
    </row>
    <row r="22" spans="1:14" ht="26.25" customHeight="1" x14ac:dyDescent="0.4">
      <c r="A22" s="428" t="s">
        <v>37</v>
      </c>
      <c r="B22" s="433">
        <v>42985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43006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71" t="s">
        <v>135</v>
      </c>
      <c r="C26" s="671"/>
    </row>
    <row r="27" spans="1:14" ht="26.25" customHeight="1" x14ac:dyDescent="0.4">
      <c r="A27" s="437" t="s">
        <v>48</v>
      </c>
      <c r="B27" s="677" t="s">
        <v>136</v>
      </c>
      <c r="C27" s="677"/>
    </row>
    <row r="28" spans="1:14" ht="27" customHeight="1" x14ac:dyDescent="0.4">
      <c r="A28" s="437" t="s">
        <v>6</v>
      </c>
      <c r="B28" s="438">
        <v>97.21</v>
      </c>
    </row>
    <row r="29" spans="1:14" s="3" customFormat="1" ht="27" customHeight="1" x14ac:dyDescent="0.4">
      <c r="A29" s="437" t="s">
        <v>49</v>
      </c>
      <c r="B29" s="439">
        <v>0</v>
      </c>
      <c r="C29" s="678" t="s">
        <v>50</v>
      </c>
      <c r="D29" s="679"/>
      <c r="E29" s="679"/>
      <c r="F29" s="679"/>
      <c r="G29" s="680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97.21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81" t="s">
        <v>53</v>
      </c>
      <c r="D31" s="682"/>
      <c r="E31" s="682"/>
      <c r="F31" s="682"/>
      <c r="G31" s="682"/>
      <c r="H31" s="683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81" t="s">
        <v>55</v>
      </c>
      <c r="D32" s="682"/>
      <c r="E32" s="682"/>
      <c r="F32" s="682"/>
      <c r="G32" s="682"/>
      <c r="H32" s="683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100</v>
      </c>
      <c r="C36" s="427"/>
      <c r="D36" s="684" t="s">
        <v>59</v>
      </c>
      <c r="E36" s="685"/>
      <c r="F36" s="684" t="s">
        <v>60</v>
      </c>
      <c r="G36" s="686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1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1</v>
      </c>
      <c r="C38" s="459">
        <v>1</v>
      </c>
      <c r="D38" s="460">
        <v>4702262</v>
      </c>
      <c r="E38" s="461">
        <f>IF(ISBLANK(D38),"-",$D$48/$D$45*D38)</f>
        <v>4984684.0194805628</v>
      </c>
      <c r="F38" s="460">
        <v>4858045</v>
      </c>
      <c r="G38" s="462">
        <f>IF(ISBLANK(F38),"-",$D$48/$F$45*F38)</f>
        <v>4903490.9628681093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4734941</v>
      </c>
      <c r="E39" s="466">
        <f>IF(ISBLANK(D39),"-",$D$48/$D$45*D39)</f>
        <v>5019325.7491571745</v>
      </c>
      <c r="F39" s="465">
        <v>4845485</v>
      </c>
      <c r="G39" s="467">
        <f>IF(ISBLANK(F39),"-",$D$48/$F$45*F39)</f>
        <v>4890813.4667778872</v>
      </c>
      <c r="I39" s="688">
        <f>ABS((F43/D43*D42)-F42)/D42</f>
        <v>2.107182672906293E-2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4679907</v>
      </c>
      <c r="E40" s="466">
        <f>IF(ISBLANK(D40),"-",$D$48/$D$45*D40)</f>
        <v>4960986.3583856495</v>
      </c>
      <c r="F40" s="465">
        <v>4825296</v>
      </c>
      <c r="G40" s="467">
        <f>IF(ISBLANK(F40),"-",$D$48/$F$45*F40)</f>
        <v>4870435.603038596</v>
      </c>
      <c r="I40" s="68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4705703.333333333</v>
      </c>
      <c r="E42" s="476">
        <f>AVERAGE(E38:E41)</f>
        <v>4988332.0423411289</v>
      </c>
      <c r="F42" s="475">
        <f>AVERAGE(F38:F41)</f>
        <v>4842942</v>
      </c>
      <c r="G42" s="477">
        <f>AVERAGE(G38:G41)</f>
        <v>4888246.6775615308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23.29</v>
      </c>
      <c r="E43" s="468"/>
      <c r="F43" s="480">
        <v>24.46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23.29</v>
      </c>
      <c r="E44" s="483"/>
      <c r="F44" s="482">
        <f>F43*$B$34</f>
        <v>24.46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22.640208999999999</v>
      </c>
      <c r="E45" s="486"/>
      <c r="F45" s="485">
        <f>F44*$B$30/100</f>
        <v>23.777565999999997</v>
      </c>
      <c r="H45" s="478"/>
    </row>
    <row r="46" spans="1:14" ht="19.5" customHeight="1" x14ac:dyDescent="0.3">
      <c r="A46" s="689" t="s">
        <v>78</v>
      </c>
      <c r="B46" s="690"/>
      <c r="C46" s="481" t="s">
        <v>79</v>
      </c>
      <c r="D46" s="487">
        <f>D45/$B$45</f>
        <v>0.22640209</v>
      </c>
      <c r="E46" s="488"/>
      <c r="F46" s="489">
        <f>F45/$B$45</f>
        <v>0.23777565999999997</v>
      </c>
      <c r="H46" s="478"/>
    </row>
    <row r="47" spans="1:14" ht="27" customHeight="1" x14ac:dyDescent="0.4">
      <c r="A47" s="691"/>
      <c r="B47" s="692"/>
      <c r="C47" s="490" t="s">
        <v>80</v>
      </c>
      <c r="D47" s="491">
        <v>0.24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24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24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4938289.3599513294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1.1912581671966044E-2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Tenofovir Disoproxil Fumarate 300mg, Lamivudine 300mg &amp; Efavirenz 600mg tablets</v>
      </c>
    </row>
    <row r="56" spans="1:12" ht="26.25" customHeight="1" x14ac:dyDescent="0.4">
      <c r="A56" s="505" t="s">
        <v>87</v>
      </c>
      <c r="B56" s="506">
        <v>600</v>
      </c>
      <c r="C56" s="427" t="str">
        <f>B20</f>
        <v>Efavirenz</v>
      </c>
      <c r="H56" s="507"/>
    </row>
    <row r="57" spans="1:12" ht="18.75" x14ac:dyDescent="0.3">
      <c r="A57" s="504" t="s">
        <v>88</v>
      </c>
      <c r="B57" s="575">
        <f>Uniformity!C46</f>
        <v>1898.4540000000002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200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4</v>
      </c>
      <c r="C60" s="693" t="s">
        <v>94</v>
      </c>
      <c r="D60" s="696">
        <v>1914.42</v>
      </c>
      <c r="E60" s="510">
        <v>1</v>
      </c>
      <c r="F60" s="511">
        <v>4747493</v>
      </c>
      <c r="G60" s="576">
        <f>IF(ISBLANK(F60),"-",(F60/$D$50*$D$47*$B$68)*($B$57/$D$60))</f>
        <v>572.00773995959548</v>
      </c>
      <c r="H60" s="594">
        <f t="shared" ref="H60:H71" si="0">IF(ISBLANK(F60),"-",(G60/$B$56)*100)</f>
        <v>95.334623326599242</v>
      </c>
      <c r="L60" s="440"/>
    </row>
    <row r="61" spans="1:12" s="3" customFormat="1" ht="26.25" customHeight="1" x14ac:dyDescent="0.4">
      <c r="A61" s="452" t="s">
        <v>95</v>
      </c>
      <c r="B61" s="453">
        <v>50</v>
      </c>
      <c r="C61" s="694"/>
      <c r="D61" s="697"/>
      <c r="E61" s="512">
        <v>2</v>
      </c>
      <c r="F61" s="465">
        <v>4734017</v>
      </c>
      <c r="G61" s="577">
        <f>IF(ISBLANK(F61),"-",(F61/$D$50*$D$47*$B$68)*($B$57/$D$60))</f>
        <v>570.3840669381301</v>
      </c>
      <c r="H61" s="595">
        <f t="shared" si="0"/>
        <v>95.064011156355022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94"/>
      <c r="D62" s="697"/>
      <c r="E62" s="512">
        <v>3</v>
      </c>
      <c r="F62" s="513">
        <v>4726986</v>
      </c>
      <c r="G62" s="577">
        <f>IF(ISBLANK(F62),"-",(F62/$D$50*$D$47*$B$68)*($B$57/$D$60))</f>
        <v>569.53692794926667</v>
      </c>
      <c r="H62" s="595">
        <f t="shared" si="0"/>
        <v>94.922821324877788</v>
      </c>
      <c r="L62" s="440"/>
    </row>
    <row r="63" spans="1:12" ht="27" customHeight="1" x14ac:dyDescent="0.4">
      <c r="A63" s="452" t="s">
        <v>97</v>
      </c>
      <c r="B63" s="453">
        <v>1</v>
      </c>
      <c r="C63" s="695"/>
      <c r="D63" s="698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93" t="s">
        <v>99</v>
      </c>
      <c r="D64" s="696">
        <v>1892.9</v>
      </c>
      <c r="E64" s="510">
        <v>1</v>
      </c>
      <c r="F64" s="511">
        <v>4782595</v>
      </c>
      <c r="G64" s="576">
        <f>IF(ISBLANK(F64),"-",(F64/$D$50*$D$47*$B$68)*($B$57/$D$64))</f>
        <v>582.78817243286414</v>
      </c>
      <c r="H64" s="594">
        <f t="shared" si="0"/>
        <v>97.131362072144029</v>
      </c>
    </row>
    <row r="65" spans="1:8" ht="26.25" customHeight="1" x14ac:dyDescent="0.4">
      <c r="A65" s="452" t="s">
        <v>100</v>
      </c>
      <c r="B65" s="453">
        <v>1</v>
      </c>
      <c r="C65" s="694"/>
      <c r="D65" s="697"/>
      <c r="E65" s="512">
        <v>2</v>
      </c>
      <c r="F65" s="465">
        <v>4764955</v>
      </c>
      <c r="G65" s="577">
        <f>IF(ISBLANK(F65),"-",(F65/$D$50*$D$47*$B$68)*($B$57/$D$64))</f>
        <v>580.63863157445655</v>
      </c>
      <c r="H65" s="595">
        <f t="shared" si="0"/>
        <v>96.773105262409416</v>
      </c>
    </row>
    <row r="66" spans="1:8" ht="26.25" customHeight="1" x14ac:dyDescent="0.4">
      <c r="A66" s="452" t="s">
        <v>101</v>
      </c>
      <c r="B66" s="453">
        <v>1</v>
      </c>
      <c r="C66" s="694"/>
      <c r="D66" s="697"/>
      <c r="E66" s="512">
        <v>3</v>
      </c>
      <c r="F66" s="465">
        <v>4757620</v>
      </c>
      <c r="G66" s="577">
        <f>IF(ISBLANK(F66),"-",(F66/$D$50*$D$47*$B$68)*($B$57/$D$64))</f>
        <v>579.7448173909861</v>
      </c>
      <c r="H66" s="595">
        <f t="shared" si="0"/>
        <v>96.624136231831017</v>
      </c>
    </row>
    <row r="67" spans="1:8" ht="27" customHeight="1" x14ac:dyDescent="0.4">
      <c r="A67" s="452" t="s">
        <v>102</v>
      </c>
      <c r="B67" s="453">
        <v>1</v>
      </c>
      <c r="C67" s="695"/>
      <c r="D67" s="698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2500</v>
      </c>
      <c r="C68" s="693" t="s">
        <v>104</v>
      </c>
      <c r="D68" s="696">
        <v>1906.12</v>
      </c>
      <c r="E68" s="510">
        <v>1</v>
      </c>
      <c r="F68" s="511">
        <v>4716363</v>
      </c>
      <c r="G68" s="576">
        <f>IF(ISBLANK(F68),"-",(F68/$D$50*$D$47*$B$68)*($B$57/$D$68))</f>
        <v>570.73141789508111</v>
      </c>
      <c r="H68" s="595">
        <f t="shared" si="0"/>
        <v>95.121902982513518</v>
      </c>
    </row>
    <row r="69" spans="1:8" ht="27" customHeight="1" x14ac:dyDescent="0.4">
      <c r="A69" s="500" t="s">
        <v>105</v>
      </c>
      <c r="B69" s="517">
        <f>(D47*B68)/B56*B57</f>
        <v>1898.4540000000002</v>
      </c>
      <c r="C69" s="694"/>
      <c r="D69" s="697"/>
      <c r="E69" s="512">
        <v>2</v>
      </c>
      <c r="F69" s="465">
        <v>4679854</v>
      </c>
      <c r="G69" s="577">
        <f>IF(ISBLANK(F69),"-",(F69/$D$50*$D$47*$B$68)*($B$57/$D$68))</f>
        <v>566.31343027709408</v>
      </c>
      <c r="H69" s="595">
        <f t="shared" si="0"/>
        <v>94.385571712849014</v>
      </c>
    </row>
    <row r="70" spans="1:8" ht="26.25" customHeight="1" x14ac:dyDescent="0.4">
      <c r="A70" s="706" t="s">
        <v>78</v>
      </c>
      <c r="B70" s="707"/>
      <c r="C70" s="694"/>
      <c r="D70" s="697"/>
      <c r="E70" s="512">
        <v>3</v>
      </c>
      <c r="F70" s="465">
        <v>4698576</v>
      </c>
      <c r="G70" s="577">
        <f>IF(ISBLANK(F70),"-",(F70/$D$50*$D$47*$B$68)*($B$57/$D$68))</f>
        <v>568.57899669041558</v>
      </c>
      <c r="H70" s="595">
        <f t="shared" si="0"/>
        <v>94.763166115069268</v>
      </c>
    </row>
    <row r="71" spans="1:8" ht="27" customHeight="1" x14ac:dyDescent="0.4">
      <c r="A71" s="708"/>
      <c r="B71" s="709"/>
      <c r="C71" s="705"/>
      <c r="D71" s="698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573.41380012309889</v>
      </c>
      <c r="H72" s="597">
        <f>AVERAGE(H60:H71)</f>
        <v>95.568966687183149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1.0451487598554738E-2</v>
      </c>
      <c r="H73" s="581">
        <f>STDEV(H60:H71)/H72</f>
        <v>1.0451487598554717E-2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701" t="str">
        <f>B26</f>
        <v>Efavirenz</v>
      </c>
      <c r="D76" s="701"/>
      <c r="E76" s="526" t="s">
        <v>108</v>
      </c>
      <c r="F76" s="526"/>
      <c r="G76" s="613">
        <f>H72</f>
        <v>95.568966687183149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87" t="str">
        <f>B26</f>
        <v>Efavirenz</v>
      </c>
      <c r="C79" s="687"/>
    </row>
    <row r="80" spans="1:8" ht="26.25" customHeight="1" x14ac:dyDescent="0.4">
      <c r="A80" s="437" t="s">
        <v>48</v>
      </c>
      <c r="B80" s="687" t="str">
        <f>B27</f>
        <v>E15-6</v>
      </c>
      <c r="C80" s="687"/>
    </row>
    <row r="81" spans="1:12" ht="27" customHeight="1" x14ac:dyDescent="0.4">
      <c r="A81" s="437" t="s">
        <v>6</v>
      </c>
      <c r="B81" s="529">
        <f>B28</f>
        <v>97.21</v>
      </c>
    </row>
    <row r="82" spans="1:12" s="3" customFormat="1" ht="27" customHeight="1" x14ac:dyDescent="0.4">
      <c r="A82" s="437" t="s">
        <v>49</v>
      </c>
      <c r="B82" s="439">
        <v>0</v>
      </c>
      <c r="C82" s="678" t="s">
        <v>50</v>
      </c>
      <c r="D82" s="679"/>
      <c r="E82" s="679"/>
      <c r="F82" s="679"/>
      <c r="G82" s="680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97.21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81" t="s">
        <v>111</v>
      </c>
      <c r="D84" s="682"/>
      <c r="E84" s="682"/>
      <c r="F84" s="682"/>
      <c r="G84" s="682"/>
      <c r="H84" s="683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81" t="s">
        <v>112</v>
      </c>
      <c r="D85" s="682"/>
      <c r="E85" s="682"/>
      <c r="F85" s="682"/>
      <c r="G85" s="682"/>
      <c r="H85" s="683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50</v>
      </c>
      <c r="D89" s="530" t="s">
        <v>59</v>
      </c>
      <c r="E89" s="531"/>
      <c r="F89" s="684" t="s">
        <v>60</v>
      </c>
      <c r="G89" s="686"/>
    </row>
    <row r="90" spans="1:12" ht="27" customHeight="1" x14ac:dyDescent="0.4">
      <c r="A90" s="452" t="s">
        <v>61</v>
      </c>
      <c r="B90" s="453">
        <v>1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1</v>
      </c>
      <c r="C91" s="534">
        <v>1</v>
      </c>
      <c r="D91" s="460">
        <v>2093756</v>
      </c>
      <c r="E91" s="461">
        <f>IF(ISBLANK(D91),"-",$D$101/$D$98*D91)</f>
        <v>2269597.8603891567</v>
      </c>
      <c r="F91" s="460">
        <v>2167442</v>
      </c>
      <c r="G91" s="462">
        <f>IF(ISBLANK(F91),"-",$D$101/$F$98*F91)</f>
        <v>2245366.7805074779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2095309</v>
      </c>
      <c r="E92" s="466">
        <f>IF(ISBLANK(D92),"-",$D$101/$D$98*D92)</f>
        <v>2271281.2874347079</v>
      </c>
      <c r="F92" s="465">
        <v>2167529</v>
      </c>
      <c r="G92" s="467">
        <f>IF(ISBLANK(F92),"-",$D$101/$F$98*F92)</f>
        <v>2245456.9083678331</v>
      </c>
      <c r="I92" s="688">
        <f>ABS((F96/D96*D95)-F95)/D95</f>
        <v>1.2160740467381385E-2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2095987</v>
      </c>
      <c r="E93" s="466">
        <f>IF(ISBLANK(D93),"-",$D$101/$D$98*D93)</f>
        <v>2272016.2285402347</v>
      </c>
      <c r="F93" s="465">
        <v>2165054</v>
      </c>
      <c r="G93" s="467">
        <f>IF(ISBLANK(F93),"-",$D$101/$F$98*F93)</f>
        <v>2242892.9261335884</v>
      </c>
      <c r="I93" s="68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2095017.3333333333</v>
      </c>
      <c r="E95" s="476">
        <f>AVERAGE(E91:E94)</f>
        <v>2270965.1254546996</v>
      </c>
      <c r="F95" s="539">
        <f>AVERAGE(F91:F94)</f>
        <v>2166675</v>
      </c>
      <c r="G95" s="540">
        <f>AVERAGE(G91:G94)</f>
        <v>2244572.2050029668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28.47</v>
      </c>
      <c r="E96" s="468"/>
      <c r="F96" s="480">
        <v>29.79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28.47</v>
      </c>
      <c r="E97" s="483"/>
      <c r="F97" s="482">
        <f>F96*$B$87</f>
        <v>29.79</v>
      </c>
    </row>
    <row r="98" spans="1:10" ht="19.5" customHeight="1" x14ac:dyDescent="0.3">
      <c r="A98" s="452" t="s">
        <v>76</v>
      </c>
      <c r="B98" s="545">
        <f>(B97/B96)*(B95/B94)*(B93/B92)*(B91/B90)*B89</f>
        <v>50</v>
      </c>
      <c r="C98" s="543" t="s">
        <v>115</v>
      </c>
      <c r="D98" s="546">
        <f>D97*$B$83/100</f>
        <v>27.675686999999996</v>
      </c>
      <c r="E98" s="486"/>
      <c r="F98" s="485">
        <f>F97*$B$83/100</f>
        <v>28.958858999999997</v>
      </c>
    </row>
    <row r="99" spans="1:10" ht="19.5" customHeight="1" x14ac:dyDescent="0.3">
      <c r="A99" s="689" t="s">
        <v>78</v>
      </c>
      <c r="B99" s="703"/>
      <c r="C99" s="543" t="s">
        <v>116</v>
      </c>
      <c r="D99" s="547">
        <f>D98/$B$98</f>
        <v>0.55351373999999998</v>
      </c>
      <c r="E99" s="486"/>
      <c r="F99" s="489">
        <f>F98/$B$98</f>
        <v>0.57917717999999996</v>
      </c>
      <c r="G99" s="548"/>
      <c r="H99" s="478"/>
    </row>
    <row r="100" spans="1:10" ht="19.5" customHeight="1" x14ac:dyDescent="0.3">
      <c r="A100" s="691"/>
      <c r="B100" s="704"/>
      <c r="C100" s="543" t="s">
        <v>80</v>
      </c>
      <c r="D100" s="549">
        <f>$B$56/$B$116</f>
        <v>0.6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30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30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2257768.665228833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6.4251333354940947E-3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1000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2094322</v>
      </c>
      <c r="E108" s="578">
        <f t="shared" ref="E108:E113" si="1">IF(ISBLANK(D108),"-",D108/$D$103*$D$100*$B$116)</f>
        <v>556.56419515089669</v>
      </c>
      <c r="F108" s="605">
        <f t="shared" ref="F108:F113" si="2">IF(ISBLANK(D108), "-", (E108/$B$56)*100)</f>
        <v>92.760699191816116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2126242</v>
      </c>
      <c r="E109" s="579">
        <f t="shared" si="1"/>
        <v>565.04690655306729</v>
      </c>
      <c r="F109" s="606">
        <f t="shared" si="2"/>
        <v>94.174484425511224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2096848</v>
      </c>
      <c r="E110" s="579">
        <f t="shared" si="1"/>
        <v>557.23547738779791</v>
      </c>
      <c r="F110" s="606">
        <f t="shared" si="2"/>
        <v>92.872579564632986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2083874</v>
      </c>
      <c r="E111" s="579">
        <f t="shared" si="1"/>
        <v>553.78764851148958</v>
      </c>
      <c r="F111" s="606">
        <f t="shared" si="2"/>
        <v>92.297941418581601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2055124</v>
      </c>
      <c r="E112" s="579">
        <f t="shared" si="1"/>
        <v>546.14736176924634</v>
      </c>
      <c r="F112" s="606">
        <f t="shared" si="2"/>
        <v>91.024560294874391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2093110</v>
      </c>
      <c r="E113" s="580">
        <f t="shared" si="1"/>
        <v>556.24210723675424</v>
      </c>
      <c r="F113" s="607">
        <f t="shared" si="2"/>
        <v>92.707017872792377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555.83728276820864</v>
      </c>
      <c r="F115" s="609">
        <f>AVERAGE(F108:F113)</f>
        <v>92.639547128034792</v>
      </c>
    </row>
    <row r="116" spans="1:10" ht="27" customHeight="1" x14ac:dyDescent="0.4">
      <c r="A116" s="452" t="s">
        <v>103</v>
      </c>
      <c r="B116" s="484">
        <f>(B115/B114)*(B113/B112)*(B111/B110)*(B109/B108)*B107</f>
        <v>1000</v>
      </c>
      <c r="C116" s="562"/>
      <c r="D116" s="586" t="s">
        <v>84</v>
      </c>
      <c r="E116" s="584">
        <f>STDEV(E108:E113)/E115</f>
        <v>1.0959972736744832E-2</v>
      </c>
      <c r="F116" s="563">
        <f>STDEV(F108:F113)/F115</f>
        <v>1.0959972736744858E-2</v>
      </c>
      <c r="I116" s="426"/>
    </row>
    <row r="117" spans="1:10" ht="27" customHeight="1" x14ac:dyDescent="0.4">
      <c r="A117" s="689" t="s">
        <v>78</v>
      </c>
      <c r="B117" s="690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91"/>
      <c r="B118" s="692"/>
      <c r="C118" s="426"/>
      <c r="D118" s="588"/>
      <c r="E118" s="669" t="s">
        <v>123</v>
      </c>
      <c r="F118" s="670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546.14736176924634</v>
      </c>
      <c r="F119" s="610">
        <f>MIN(F108:F113)</f>
        <v>91.024560294874391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565.04690655306729</v>
      </c>
      <c r="F120" s="611">
        <f>MAX(F108:F113)</f>
        <v>94.174484425511224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701" t="str">
        <f>B26</f>
        <v>Efavirenz</v>
      </c>
      <c r="D124" s="701"/>
      <c r="E124" s="526" t="s">
        <v>127</v>
      </c>
      <c r="F124" s="526"/>
      <c r="G124" s="612">
        <f>F115</f>
        <v>92.639547128034792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91.024560294874391</v>
      </c>
      <c r="E125" s="537" t="s">
        <v>130</v>
      </c>
      <c r="F125" s="612">
        <f>MAX(F108:F113)</f>
        <v>94.174484425511224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702" t="s">
        <v>26</v>
      </c>
      <c r="C127" s="702"/>
      <c r="E127" s="532" t="s">
        <v>27</v>
      </c>
      <c r="F127" s="567"/>
      <c r="G127" s="702" t="s">
        <v>28</v>
      </c>
      <c r="H127" s="702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SST TDF</vt:lpstr>
      <vt:lpstr>SST LAM</vt:lpstr>
      <vt:lpstr>SST EFV</vt:lpstr>
      <vt:lpstr>Uniformity</vt:lpstr>
      <vt:lpstr>Tenofovir Disoproxil Fumarate</vt:lpstr>
      <vt:lpstr>Lamivudine</vt:lpstr>
      <vt:lpstr>Efavirenz</vt:lpstr>
      <vt:lpstr>Efavirenz!Print_Area</vt:lpstr>
      <vt:lpstr>Lamivudine!Print_Area</vt:lpstr>
      <vt:lpstr>'Tenofovir Disoproxil Fumarate'!Print_Area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Rutto</cp:lastModifiedBy>
  <cp:lastPrinted>2017-09-28T08:45:52Z</cp:lastPrinted>
  <dcterms:created xsi:type="dcterms:W3CDTF">2005-07-05T10:19:27Z</dcterms:created>
  <dcterms:modified xsi:type="dcterms:W3CDTF">2017-09-28T08:55:35Z</dcterms:modified>
</cp:coreProperties>
</file>