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Lamivudine" sheetId="14" r:id="rId1"/>
    <sheet name="SST TDF" sheetId="13" r:id="rId2"/>
    <sheet name="SST Efavirenz" sheetId="12" r:id="rId3"/>
    <sheet name="Uniformity" sheetId="2" r:id="rId4"/>
    <sheet name="Tenofovir Disoproxil Fumarate" sheetId="3" r:id="rId5"/>
    <sheet name="Lamivudine" sheetId="4" r:id="rId6"/>
    <sheet name="Efavirenz" sheetId="5" r:id="rId7"/>
  </sheets>
  <definedNames>
    <definedName name="_xlnm.Print_Area" localSheetId="6">Efavirenz!$A$1:$I$129</definedName>
    <definedName name="_xlnm.Print_Area" localSheetId="5">Lamivudine!$A$1:$I$129</definedName>
    <definedName name="_xlnm.Print_Area" localSheetId="2">'SST Efavirenz'!$A$15:$H$61</definedName>
    <definedName name="_xlnm.Print_Area" localSheetId="0">'SST Lamivudine'!$A$15:$H$61</definedName>
    <definedName name="_xlnm.Print_Area" localSheetId="1">'SST TDF'!$A$15:$H$61</definedName>
    <definedName name="_xlnm.Print_Area" localSheetId="4">'Tenofovir Disoproxil Fumarate'!$A$1:$I$129</definedName>
    <definedName name="_xlnm.Print_Area" localSheetId="3">Uniformity!$A$12:$M$54</definedName>
  </definedNames>
  <calcPr calcId="145621"/>
</workbook>
</file>

<file path=xl/calcChain.xml><?xml version="1.0" encoding="utf-8"?>
<calcChain xmlns="http://schemas.openxmlformats.org/spreadsheetml/2006/main">
  <c r="B53" i="14" l="1"/>
  <c r="E51" i="14"/>
  <c r="D51" i="14"/>
  <c r="C51" i="14"/>
  <c r="B51" i="14"/>
  <c r="B52" i="14" s="1"/>
  <c r="B42" i="14"/>
  <c r="B32" i="14"/>
  <c r="E30" i="14"/>
  <c r="D30" i="14"/>
  <c r="C30" i="14"/>
  <c r="B30" i="14"/>
  <c r="B31" i="14" s="1"/>
  <c r="B21" i="14"/>
  <c r="B53" i="13"/>
  <c r="F51" i="13"/>
  <c r="E51" i="13"/>
  <c r="D51" i="13"/>
  <c r="C51" i="13"/>
  <c r="B51" i="13"/>
  <c r="B52" i="13" s="1"/>
  <c r="B42" i="13"/>
  <c r="B32" i="13"/>
  <c r="F30" i="13"/>
  <c r="E30" i="13"/>
  <c r="D30" i="13"/>
  <c r="C30" i="13"/>
  <c r="B30" i="13"/>
  <c r="B31" i="13" s="1"/>
  <c r="B21" i="13"/>
  <c r="B53" i="12"/>
  <c r="F51" i="12"/>
  <c r="E51" i="12"/>
  <c r="D51" i="12"/>
  <c r="C51" i="12"/>
  <c r="B51" i="12"/>
  <c r="B52" i="12" s="1"/>
  <c r="B32" i="12"/>
  <c r="B31" i="12"/>
  <c r="F30" i="12"/>
  <c r="E30" i="12"/>
  <c r="D30" i="12"/>
  <c r="C30" i="12"/>
  <c r="B30" i="12"/>
  <c r="B21" i="12"/>
  <c r="C124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D48" i="4"/>
  <c r="B45" i="4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50" i="2"/>
  <c r="C49" i="2"/>
  <c r="C46" i="2"/>
  <c r="C45" i="2"/>
  <c r="D43" i="2"/>
  <c r="D41" i="2"/>
  <c r="D39" i="2"/>
  <c r="D37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I92" i="3" l="1"/>
  <c r="D101" i="3"/>
  <c r="D102" i="3" s="1"/>
  <c r="D101" i="4"/>
  <c r="D102" i="4" s="1"/>
  <c r="I92" i="4"/>
  <c r="I92" i="5"/>
  <c r="D101" i="5"/>
  <c r="D102" i="5" s="1"/>
  <c r="I39" i="5"/>
  <c r="F44" i="5"/>
  <c r="F45" i="5" s="1"/>
  <c r="D45" i="5"/>
  <c r="E39" i="5" s="1"/>
  <c r="I39" i="4"/>
  <c r="D49" i="4"/>
  <c r="D45" i="4"/>
  <c r="D46" i="4" s="1"/>
  <c r="I39" i="3"/>
  <c r="F44" i="3"/>
  <c r="F45" i="3" s="1"/>
  <c r="F98" i="3"/>
  <c r="F99" i="3" s="1"/>
  <c r="E38" i="4"/>
  <c r="F98" i="5"/>
  <c r="F99" i="5" s="1"/>
  <c r="B57" i="5"/>
  <c r="B69" i="5" s="1"/>
  <c r="B57" i="3"/>
  <c r="B69" i="3" s="1"/>
  <c r="D49" i="2"/>
  <c r="D40" i="2"/>
  <c r="D36" i="2"/>
  <c r="B57" i="4"/>
  <c r="B69" i="4" s="1"/>
  <c r="D50" i="2"/>
  <c r="B49" i="2"/>
  <c r="D42" i="2"/>
  <c r="D38" i="2"/>
  <c r="D45" i="3"/>
  <c r="E40" i="3" s="1"/>
  <c r="F98" i="4"/>
  <c r="D97" i="3"/>
  <c r="D98" i="3" s="1"/>
  <c r="D99" i="3" s="1"/>
  <c r="F44" i="4"/>
  <c r="F45" i="4" s="1"/>
  <c r="G38" i="4" s="1"/>
  <c r="E94" i="4"/>
  <c r="D97" i="5"/>
  <c r="D98" i="5" s="1"/>
  <c r="D99" i="5" s="1"/>
  <c r="D49" i="3"/>
  <c r="E41" i="4"/>
  <c r="G94" i="4"/>
  <c r="D49" i="5"/>
  <c r="D97" i="4"/>
  <c r="D98" i="4" s="1"/>
  <c r="E92" i="4"/>
  <c r="G93" i="4"/>
  <c r="E41" i="5" l="1"/>
  <c r="F46" i="5"/>
  <c r="G38" i="5"/>
  <c r="G41" i="5"/>
  <c r="D46" i="5"/>
  <c r="E40" i="5"/>
  <c r="E38" i="5"/>
  <c r="E94" i="5"/>
  <c r="G40" i="5"/>
  <c r="G39" i="5"/>
  <c r="E92" i="5"/>
  <c r="E40" i="4"/>
  <c r="E39" i="4"/>
  <c r="G39" i="3"/>
  <c r="G38" i="3"/>
  <c r="G91" i="3"/>
  <c r="G94" i="3"/>
  <c r="D99" i="4"/>
  <c r="E93" i="4"/>
  <c r="E91" i="4"/>
  <c r="F46" i="3"/>
  <c r="G41" i="3"/>
  <c r="G40" i="3"/>
  <c r="G91" i="5"/>
  <c r="G94" i="5"/>
  <c r="E92" i="3"/>
  <c r="E94" i="3"/>
  <c r="E38" i="3"/>
  <c r="D46" i="3"/>
  <c r="E39" i="3"/>
  <c r="E93" i="5"/>
  <c r="G92" i="5"/>
  <c r="G93" i="3"/>
  <c r="E91" i="3"/>
  <c r="G41" i="4"/>
  <c r="F46" i="4"/>
  <c r="G39" i="4"/>
  <c r="G40" i="4"/>
  <c r="G91" i="4"/>
  <c r="F99" i="4"/>
  <c r="G92" i="4"/>
  <c r="E41" i="3"/>
  <c r="G93" i="5"/>
  <c r="E91" i="5"/>
  <c r="E93" i="3"/>
  <c r="G92" i="3"/>
  <c r="E42" i="5" l="1"/>
  <c r="D50" i="5"/>
  <c r="G70" i="5" s="1"/>
  <c r="H70" i="5" s="1"/>
  <c r="G42" i="5"/>
  <c r="G95" i="5"/>
  <c r="D52" i="5"/>
  <c r="E42" i="4"/>
  <c r="G95" i="4"/>
  <c r="D52" i="4"/>
  <c r="D50" i="4"/>
  <c r="G69" i="4" s="1"/>
  <c r="H69" i="4" s="1"/>
  <c r="G42" i="4"/>
  <c r="G42" i="3"/>
  <c r="G95" i="3"/>
  <c r="D50" i="3"/>
  <c r="D52" i="3"/>
  <c r="E42" i="3"/>
  <c r="D103" i="5"/>
  <c r="E95" i="5"/>
  <c r="D105" i="5"/>
  <c r="D103" i="3"/>
  <c r="E95" i="3"/>
  <c r="D105" i="3"/>
  <c r="E95" i="4"/>
  <c r="D105" i="4"/>
  <c r="D103" i="4"/>
  <c r="G60" i="5" l="1"/>
  <c r="H60" i="5" s="1"/>
  <c r="G63" i="5"/>
  <c r="H63" i="5" s="1"/>
  <c r="D51" i="5"/>
  <c r="G69" i="5"/>
  <c r="H69" i="5" s="1"/>
  <c r="G62" i="5"/>
  <c r="H62" i="5" s="1"/>
  <c r="G71" i="5"/>
  <c r="H71" i="5" s="1"/>
  <c r="G65" i="5"/>
  <c r="H65" i="5" s="1"/>
  <c r="G68" i="5"/>
  <c r="H68" i="5" s="1"/>
  <c r="G67" i="5"/>
  <c r="H67" i="5" s="1"/>
  <c r="G64" i="5"/>
  <c r="H64" i="5" s="1"/>
  <c r="G66" i="5"/>
  <c r="H66" i="5" s="1"/>
  <c r="G61" i="5"/>
  <c r="H61" i="5" s="1"/>
  <c r="G61" i="4"/>
  <c r="H61" i="4" s="1"/>
  <c r="G70" i="4"/>
  <c r="H70" i="4" s="1"/>
  <c r="G64" i="4"/>
  <c r="H64" i="4" s="1"/>
  <c r="G68" i="4"/>
  <c r="H68" i="4" s="1"/>
  <c r="G63" i="4"/>
  <c r="H63" i="4" s="1"/>
  <c r="G67" i="4"/>
  <c r="H67" i="4" s="1"/>
  <c r="G62" i="4"/>
  <c r="H62" i="4" s="1"/>
  <c r="G71" i="4"/>
  <c r="H71" i="4" s="1"/>
  <c r="D51" i="4"/>
  <c r="G66" i="4"/>
  <c r="H66" i="4" s="1"/>
  <c r="G65" i="4"/>
  <c r="H65" i="4" s="1"/>
  <c r="G60" i="4"/>
  <c r="H60" i="4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72" i="5" l="1"/>
  <c r="G73" i="5" s="1"/>
  <c r="G74" i="5"/>
  <c r="G72" i="4"/>
  <c r="G73" i="4" s="1"/>
  <c r="G74" i="4"/>
  <c r="G74" i="3"/>
  <c r="G72" i="3"/>
  <c r="G73" i="3" s="1"/>
  <c r="H60" i="3"/>
  <c r="E120" i="5"/>
  <c r="E117" i="5"/>
  <c r="F108" i="5"/>
  <c r="E115" i="5"/>
  <c r="E116" i="5" s="1"/>
  <c r="E119" i="5"/>
  <c r="E115" i="4"/>
  <c r="E116" i="4" s="1"/>
  <c r="E119" i="4"/>
  <c r="E120" i="4"/>
  <c r="E117" i="4"/>
  <c r="F108" i="4"/>
  <c r="H74" i="5"/>
  <c r="H72" i="5"/>
  <c r="H74" i="4"/>
  <c r="H72" i="4"/>
  <c r="E120" i="3"/>
  <c r="E117" i="3"/>
  <c r="F108" i="3"/>
  <c r="E115" i="3"/>
  <c r="E116" i="3" s="1"/>
  <c r="E119" i="3"/>
  <c r="G76" i="4" l="1"/>
  <c r="H73" i="4"/>
  <c r="F119" i="4"/>
  <c r="F125" i="4"/>
  <c r="F120" i="4"/>
  <c r="F117" i="4"/>
  <c r="D125" i="4"/>
  <c r="F115" i="4"/>
  <c r="G76" i="5"/>
  <c r="H73" i="5"/>
  <c r="H74" i="3"/>
  <c r="H72" i="3"/>
  <c r="F125" i="3"/>
  <c r="F120" i="3"/>
  <c r="F117" i="3"/>
  <c r="D125" i="3"/>
  <c r="F115" i="3"/>
  <c r="F119" i="3"/>
  <c r="F125" i="5"/>
  <c r="F120" i="5"/>
  <c r="F117" i="5"/>
  <c r="D125" i="5"/>
  <c r="F115" i="5"/>
  <c r="F119" i="5"/>
  <c r="G76" i="3" l="1"/>
  <c r="H73" i="3"/>
  <c r="G124" i="4"/>
  <c r="F116" i="4"/>
  <c r="G124" i="3"/>
  <c r="F116" i="3"/>
  <c r="G124" i="5"/>
  <c r="F116" i="5"/>
</calcChain>
</file>

<file path=xl/sharedStrings.xml><?xml version="1.0" encoding="utf-8"?>
<sst xmlns="http://schemas.openxmlformats.org/spreadsheetml/2006/main" count="669" uniqueCount="145">
  <si>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</si>
  <si>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</si>
  <si>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</si>
  <si>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</si>
  <si>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</si>
  <si>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</si>
  <si>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</si>
  <si>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NDQB201707032</t>
  </si>
  <si>
    <t>Weight (mg):</t>
  </si>
  <si>
    <t>Tenofovir Disoproxil Fumarate, Lamivudine, Efavirenz</t>
  </si>
  <si>
    <t>Standard Conc (mg/mL):</t>
  </si>
  <si>
    <t>Each film coated tablet contains Tenofovir Disoproxil Fumarate 300 mg, Lamivudine USP 300 mg &amp; Efavirenz USP 600 mg tablets.</t>
  </si>
  <si>
    <t>2017-07-19 11:45:02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</si>
  <si>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</si>
  <si>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</si>
  <si>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</si>
  <si>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</si>
  <si>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</si>
  <si>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</si>
  <si>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</si>
  <si>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</si>
  <si>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</si>
  <si>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</si>
  <si>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</si>
  <si>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</si>
  <si>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</si>
  <si>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</si>
  <si>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</si>
  <si>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</si>
  <si>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</si>
  <si>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</si>
  <si>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</si>
  <si>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</si>
  <si>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</si>
  <si>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</si>
  <si>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</si>
  <si>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</si>
  <si>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</si>
  <si>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</si>
  <si>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</si>
  <si>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</si>
  <si>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</si>
  <si>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</si>
  <si>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</si>
  <si>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</si>
  <si>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</si>
  <si>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</si>
  <si>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</si>
  <si>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</si>
  <si>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</si>
  <si>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</si>
  <si>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</si>
  <si>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</si>
  <si>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</si>
  <si>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</si>
  <si>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</si>
  <si>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</si>
  <si>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</si>
  <si>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</si>
  <si>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</si>
  <si>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</si>
  <si>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</si>
  <si>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</si>
  <si>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</si>
  <si>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</si>
  <si>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</si>
  <si>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</si>
  <si>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</si>
  <si>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</si>
  <si>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</si>
  <si>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</si>
  <si>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</si>
  <si>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</si>
  <si>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</si>
  <si>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</si>
  <si>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</si>
  <si>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</si>
  <si>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</si>
  <si>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</si>
  <si>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</si>
  <si>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</si>
  <si>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</si>
  <si>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</si>
  <si>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</si>
  <si>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</si>
  <si>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</si>
  <si>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</si>
  <si>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</si>
  <si>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</si>
  <si>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</si>
  <si>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</si>
  <si>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</si>
  <si>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</si>
  <si>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</si>
  <si>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</si>
  <si>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</si>
  <si>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</si>
  <si>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</si>
  <si>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</si>
  <si>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</si>
  <si>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</si>
  <si>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</si>
  <si>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</si>
  <si>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</si>
  <si>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</si>
  <si>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</si>
  <si>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</si>
  <si>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</si>
  <si>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</si>
  <si>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</si>
  <si>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</si>
  <si>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</si>
  <si>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</si>
  <si>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</si>
  <si>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</si>
  <si>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</si>
  <si>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</si>
  <si>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</si>
  <si>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</si>
  <si>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</si>
  <si>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</si>
  <si>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</si>
  <si>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</si>
  <si>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</si>
  <si>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</si>
  <si>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</si>
  <si>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</si>
  <si>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</si>
  <si>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</si>
  <si>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</si>
  <si>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</si>
  <si>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 DISOPROXIL FUMARATE</t>
  </si>
  <si>
    <t>T11-10</t>
  </si>
  <si>
    <t>Tenofovir Disoproxil Fumarate</t>
  </si>
  <si>
    <t xml:space="preserve"> Lamivudine</t>
  </si>
  <si>
    <t>LAMIVUDINE</t>
  </si>
  <si>
    <t>L3-10</t>
  </si>
  <si>
    <t>Efavirenz</t>
  </si>
  <si>
    <t>EFAVIRENZ</t>
  </si>
  <si>
    <t>E15-6</t>
  </si>
  <si>
    <t>Resolution(USP)</t>
  </si>
  <si>
    <t>The number of Theoretical Plates (USP) for all peaks should be NLT 10000</t>
  </si>
  <si>
    <t>RUTTO KENNEDY</t>
  </si>
  <si>
    <t xml:space="preserve">                         Tenofovir Disoproxil Fumarate </t>
  </si>
  <si>
    <t>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</si>
</sst>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6" fillId="2" borderId="0"/>
  </cellStyleXfs>
  <cellXfs count="7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2" fontId="13" fillId="3" borderId="16" xfId="0" applyNumberFormat="1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5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7" workbookViewId="0">
      <selection activeCell="B29" sqref="B29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4" width="25.85546875" style="615" customWidth="1"/>
    <col min="5" max="5" width="25.7109375" style="615" customWidth="1"/>
    <col min="6" max="6" width="23.140625" style="615" customWidth="1"/>
    <col min="7" max="7" width="28.42578125" style="615" customWidth="1"/>
    <col min="8" max="8" width="21.5703125" style="615" customWidth="1"/>
    <col min="9" max="9" width="9.140625" style="615" customWidth="1"/>
    <col min="10" max="16384" width="9.140625" style="652"/>
  </cols>
  <sheetData>
    <row r="14" spans="1:6" ht="15" customHeight="1" x14ac:dyDescent="0.3">
      <c r="A14" s="614"/>
      <c r="C14" s="616"/>
      <c r="F14" s="616"/>
    </row>
    <row r="15" spans="1:6" ht="18.75" customHeight="1" x14ac:dyDescent="0.3">
      <c r="A15" s="660" t="s">
        <v>0</v>
      </c>
      <c r="B15" s="660"/>
      <c r="C15" s="660"/>
      <c r="D15" s="660"/>
      <c r="E15" s="660"/>
    </row>
    <row r="16" spans="1:6" ht="16.5" customHeight="1" x14ac:dyDescent="0.3">
      <c r="A16" s="617" t="s">
        <v>1</v>
      </c>
      <c r="B16" s="618" t="s">
        <v>2</v>
      </c>
    </row>
    <row r="17" spans="1:5" ht="16.5" customHeight="1" x14ac:dyDescent="0.3">
      <c r="A17" s="619" t="s">
        <v>3</v>
      </c>
      <c r="B17" s="619" t="s">
        <v>5</v>
      </c>
      <c r="D17" s="620"/>
      <c r="E17" s="621"/>
    </row>
    <row r="18" spans="1:5" ht="16.5" customHeight="1" x14ac:dyDescent="0.3">
      <c r="A18" s="622" t="s">
        <v>4</v>
      </c>
      <c r="B18" s="619" t="s">
        <v>144</v>
      </c>
      <c r="C18" s="621"/>
      <c r="D18" s="621"/>
      <c r="E18" s="621"/>
    </row>
    <row r="19" spans="1:5" ht="16.5" customHeight="1" x14ac:dyDescent="0.3">
      <c r="A19" s="622" t="s">
        <v>6</v>
      </c>
      <c r="B19" s="623">
        <v>99.39</v>
      </c>
      <c r="C19" s="621"/>
      <c r="D19" s="621"/>
      <c r="E19" s="621"/>
    </row>
    <row r="20" spans="1:5" ht="16.5" customHeight="1" x14ac:dyDescent="0.3">
      <c r="A20" s="619" t="s">
        <v>8</v>
      </c>
      <c r="B20" s="623">
        <v>12.22</v>
      </c>
      <c r="C20" s="621"/>
      <c r="D20" s="621"/>
      <c r="E20" s="621"/>
    </row>
    <row r="21" spans="1:5" ht="16.5" customHeight="1" x14ac:dyDescent="0.3">
      <c r="A21" s="619" t="s">
        <v>10</v>
      </c>
      <c r="B21" s="624">
        <f>B20/100</f>
        <v>0.1222</v>
      </c>
      <c r="C21" s="621"/>
      <c r="D21" s="621"/>
      <c r="E21" s="621"/>
    </row>
    <row r="22" spans="1:5" ht="15.75" customHeight="1" x14ac:dyDescent="0.25">
      <c r="A22" s="621"/>
      <c r="B22" s="621"/>
      <c r="C22" s="621"/>
      <c r="D22" s="621"/>
      <c r="E22" s="621"/>
    </row>
    <row r="23" spans="1:5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17</v>
      </c>
    </row>
    <row r="24" spans="1:5" ht="16.5" customHeight="1" x14ac:dyDescent="0.3">
      <c r="A24" s="627">
        <v>1</v>
      </c>
      <c r="B24" s="628">
        <v>20748081</v>
      </c>
      <c r="C24" s="628">
        <v>4450.3999999999996</v>
      </c>
      <c r="D24" s="629">
        <v>1</v>
      </c>
      <c r="E24" s="630">
        <v>4.0999999999999996</v>
      </c>
    </row>
    <row r="25" spans="1:5" ht="16.5" customHeight="1" x14ac:dyDescent="0.3">
      <c r="A25" s="627">
        <v>2</v>
      </c>
      <c r="B25" s="628">
        <v>20814651</v>
      </c>
      <c r="C25" s="628">
        <v>4467</v>
      </c>
      <c r="D25" s="629">
        <v>1</v>
      </c>
      <c r="E25" s="629">
        <v>4.0999999999999996</v>
      </c>
    </row>
    <row r="26" spans="1:5" ht="16.5" customHeight="1" x14ac:dyDescent="0.3">
      <c r="A26" s="627">
        <v>3</v>
      </c>
      <c r="B26" s="628">
        <v>20723372</v>
      </c>
      <c r="C26" s="628">
        <v>4498.1000000000004</v>
      </c>
      <c r="D26" s="629">
        <v>1</v>
      </c>
      <c r="E26" s="629">
        <v>4.0999999999999996</v>
      </c>
    </row>
    <row r="27" spans="1:5" ht="16.5" customHeight="1" x14ac:dyDescent="0.3">
      <c r="A27" s="627">
        <v>4</v>
      </c>
      <c r="B27" s="628">
        <v>20759087</v>
      </c>
      <c r="C27" s="628">
        <v>4506.5</v>
      </c>
      <c r="D27" s="629">
        <v>1</v>
      </c>
      <c r="E27" s="629">
        <v>4.0999999999999996</v>
      </c>
    </row>
    <row r="28" spans="1:5" ht="16.5" customHeight="1" x14ac:dyDescent="0.3">
      <c r="A28" s="627">
        <v>5</v>
      </c>
      <c r="B28" s="628">
        <v>20635393</v>
      </c>
      <c r="C28" s="628">
        <v>4522.3</v>
      </c>
      <c r="D28" s="629">
        <v>1</v>
      </c>
      <c r="E28" s="629">
        <v>4.0999999999999996</v>
      </c>
    </row>
    <row r="29" spans="1:5" ht="16.5" customHeight="1" x14ac:dyDescent="0.3">
      <c r="A29" s="627">
        <v>6</v>
      </c>
      <c r="B29" s="631">
        <v>20850103</v>
      </c>
      <c r="C29" s="631">
        <v>4476.1000000000004</v>
      </c>
      <c r="D29" s="632">
        <v>1</v>
      </c>
      <c r="E29" s="632">
        <v>4.0999999999999996</v>
      </c>
    </row>
    <row r="30" spans="1:5" ht="16.5" customHeight="1" x14ac:dyDescent="0.3">
      <c r="A30" s="633" t="s">
        <v>18</v>
      </c>
      <c r="B30" s="634">
        <f>AVERAGE(B24:B29)</f>
        <v>20755114.5</v>
      </c>
      <c r="C30" s="635">
        <f>AVERAGE(C24:C29)</f>
        <v>4486.7333333333336</v>
      </c>
      <c r="D30" s="636">
        <f>AVERAGE(D24:D29)</f>
        <v>1</v>
      </c>
      <c r="E30" s="636">
        <f>AVERAGE(E24:E29)</f>
        <v>4.1000000000000005</v>
      </c>
    </row>
    <row r="31" spans="1:5" ht="16.5" customHeight="1" x14ac:dyDescent="0.3">
      <c r="A31" s="637" t="s">
        <v>19</v>
      </c>
      <c r="B31" s="638">
        <f>(STDEV(B24:B29)/B30)</f>
        <v>3.6038204847486589E-3</v>
      </c>
      <c r="C31" s="639"/>
      <c r="D31" s="639"/>
      <c r="E31" s="640"/>
    </row>
    <row r="32" spans="1:5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5"/>
    </row>
    <row r="33" spans="1:5" s="615" customFormat="1" ht="15.75" customHeight="1" x14ac:dyDescent="0.25">
      <c r="A33" s="621"/>
      <c r="B33" s="621"/>
      <c r="C33" s="621"/>
      <c r="D33" s="621"/>
      <c r="E33" s="621"/>
    </row>
    <row r="34" spans="1:5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</row>
    <row r="35" spans="1:5" ht="16.5" customHeight="1" x14ac:dyDescent="0.3">
      <c r="A35" s="622"/>
      <c r="B35" s="646" t="s">
        <v>23</v>
      </c>
      <c r="C35" s="647"/>
      <c r="D35" s="647"/>
      <c r="E35" s="647"/>
    </row>
    <row r="36" spans="1:5" ht="16.5" customHeight="1" x14ac:dyDescent="0.3">
      <c r="A36" s="622"/>
      <c r="B36" s="646" t="s">
        <v>24</v>
      </c>
      <c r="C36" s="647"/>
      <c r="D36" s="647"/>
      <c r="E36" s="647"/>
    </row>
    <row r="37" spans="1:5" ht="15.75" customHeight="1" x14ac:dyDescent="0.25">
      <c r="A37" s="621"/>
      <c r="B37" s="621"/>
      <c r="C37" s="621"/>
      <c r="D37" s="621"/>
      <c r="E37" s="621"/>
    </row>
    <row r="38" spans="1:5" ht="16.5" customHeight="1" x14ac:dyDescent="0.3">
      <c r="A38" s="617" t="s">
        <v>1</v>
      </c>
      <c r="B38" s="618" t="s">
        <v>25</v>
      </c>
    </row>
    <row r="39" spans="1:5" ht="16.5" customHeight="1" x14ac:dyDescent="0.3">
      <c r="A39" s="622" t="s">
        <v>4</v>
      </c>
      <c r="B39" s="619" t="s">
        <v>144</v>
      </c>
      <c r="C39" s="621"/>
      <c r="D39" s="621"/>
      <c r="E39" s="621"/>
    </row>
    <row r="40" spans="1:5" ht="16.5" customHeight="1" x14ac:dyDescent="0.3">
      <c r="A40" s="622" t="s">
        <v>6</v>
      </c>
      <c r="B40" s="623">
        <v>99.39</v>
      </c>
      <c r="C40" s="621"/>
      <c r="D40" s="621"/>
      <c r="E40" s="621"/>
    </row>
    <row r="41" spans="1:5" ht="16.5" customHeight="1" x14ac:dyDescent="0.3">
      <c r="A41" s="619" t="s">
        <v>8</v>
      </c>
      <c r="B41" s="623">
        <v>14.95</v>
      </c>
      <c r="C41" s="621"/>
      <c r="D41" s="621"/>
      <c r="E41" s="621"/>
    </row>
    <row r="42" spans="1:5" ht="16.5" customHeight="1" x14ac:dyDescent="0.3">
      <c r="A42" s="619" t="s">
        <v>10</v>
      </c>
      <c r="B42" s="624">
        <f>14.95/50</f>
        <v>0.29899999999999999</v>
      </c>
      <c r="C42" s="621"/>
      <c r="D42" s="621"/>
      <c r="E42" s="621"/>
    </row>
    <row r="43" spans="1:5" ht="15.75" customHeight="1" x14ac:dyDescent="0.25">
      <c r="A43" s="621"/>
      <c r="B43" s="621"/>
      <c r="C43" s="621"/>
      <c r="D43" s="621"/>
      <c r="E43" s="621"/>
    </row>
    <row r="44" spans="1:5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17</v>
      </c>
    </row>
    <row r="45" spans="1:5" ht="16.5" customHeight="1" x14ac:dyDescent="0.3">
      <c r="A45" s="627">
        <v>1</v>
      </c>
      <c r="B45" s="628">
        <v>3750995</v>
      </c>
      <c r="C45" s="628">
        <v>557</v>
      </c>
      <c r="D45" s="629">
        <v>1.5</v>
      </c>
      <c r="E45" s="630">
        <v>2.12</v>
      </c>
    </row>
    <row r="46" spans="1:5" ht="16.5" customHeight="1" x14ac:dyDescent="0.3">
      <c r="A46" s="627">
        <v>2</v>
      </c>
      <c r="B46" s="628">
        <v>3743921</v>
      </c>
      <c r="C46" s="628">
        <v>533</v>
      </c>
      <c r="D46" s="629">
        <v>1.48</v>
      </c>
      <c r="E46" s="629">
        <v>2.12</v>
      </c>
    </row>
    <row r="47" spans="1:5" ht="16.5" customHeight="1" x14ac:dyDescent="0.3">
      <c r="A47" s="627">
        <v>3</v>
      </c>
      <c r="B47" s="628">
        <v>3750281</v>
      </c>
      <c r="C47" s="628">
        <v>538</v>
      </c>
      <c r="D47" s="629">
        <v>1.47</v>
      </c>
      <c r="E47" s="629">
        <v>2.12</v>
      </c>
    </row>
    <row r="48" spans="1:5" ht="16.5" customHeight="1" x14ac:dyDescent="0.3">
      <c r="A48" s="627">
        <v>4</v>
      </c>
      <c r="B48" s="628">
        <v>3710554</v>
      </c>
      <c r="C48" s="628">
        <v>535</v>
      </c>
      <c r="D48" s="629">
        <v>1.45</v>
      </c>
      <c r="E48" s="629">
        <v>2.12</v>
      </c>
    </row>
    <row r="49" spans="1:7" ht="16.5" customHeight="1" x14ac:dyDescent="0.3">
      <c r="A49" s="627">
        <v>5</v>
      </c>
      <c r="B49" s="628">
        <v>3752987</v>
      </c>
      <c r="C49" s="628">
        <v>523</v>
      </c>
      <c r="D49" s="629">
        <v>1.43</v>
      </c>
      <c r="E49" s="629">
        <v>2.13</v>
      </c>
    </row>
    <row r="50" spans="1:7" ht="16.5" customHeight="1" x14ac:dyDescent="0.3">
      <c r="A50" s="627">
        <v>6</v>
      </c>
      <c r="B50" s="631">
        <v>3721874</v>
      </c>
      <c r="C50" s="631">
        <v>531</v>
      </c>
      <c r="D50" s="632">
        <v>1.48</v>
      </c>
      <c r="E50" s="632">
        <v>2.13</v>
      </c>
    </row>
    <row r="51" spans="1:7" ht="16.5" customHeight="1" x14ac:dyDescent="0.3">
      <c r="A51" s="633" t="s">
        <v>18</v>
      </c>
      <c r="B51" s="634">
        <f>AVERAGE(B45:B50)</f>
        <v>3738435.3333333335</v>
      </c>
      <c r="C51" s="635">
        <f>AVERAGE(C45:C50)</f>
        <v>536.16666666666663</v>
      </c>
      <c r="D51" s="636">
        <f>AVERAGE(D45:D50)</f>
        <v>1.4683333333333335</v>
      </c>
      <c r="E51" s="636">
        <f>AVERAGE(E45:E50)</f>
        <v>2.1233333333333331</v>
      </c>
    </row>
    <row r="52" spans="1:7" ht="16.5" customHeight="1" x14ac:dyDescent="0.3">
      <c r="A52" s="637" t="s">
        <v>19</v>
      </c>
      <c r="B52" s="638">
        <f>(STDEV(B45:B50)/B51)</f>
        <v>4.7723904069230756E-3</v>
      </c>
      <c r="C52" s="639"/>
      <c r="D52" s="639"/>
      <c r="E52" s="640"/>
    </row>
    <row r="53" spans="1:7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5"/>
    </row>
    <row r="54" spans="1:7" s="615" customFormat="1" ht="15.75" customHeight="1" x14ac:dyDescent="0.25">
      <c r="A54" s="621"/>
      <c r="B54" s="621"/>
      <c r="C54" s="621"/>
      <c r="D54" s="621"/>
      <c r="E54" s="621"/>
    </row>
    <row r="55" spans="1:7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</row>
    <row r="56" spans="1:7" ht="16.5" customHeight="1" x14ac:dyDescent="0.3">
      <c r="A56" s="622"/>
      <c r="B56" s="646" t="s">
        <v>23</v>
      </c>
      <c r="C56" s="647"/>
      <c r="D56" s="647"/>
      <c r="E56" s="647"/>
    </row>
    <row r="57" spans="1:7" ht="16.5" customHeight="1" x14ac:dyDescent="0.3">
      <c r="A57" s="622"/>
      <c r="B57" s="646" t="s">
        <v>24</v>
      </c>
      <c r="C57" s="647"/>
      <c r="D57" s="647"/>
      <c r="E57" s="647"/>
    </row>
    <row r="58" spans="1:7" ht="14.25" customHeight="1" thickBot="1" x14ac:dyDescent="0.3">
      <c r="A58" s="648"/>
      <c r="B58" s="649"/>
      <c r="D58" s="650"/>
      <c r="F58" s="652"/>
      <c r="G58" s="652"/>
    </row>
    <row r="59" spans="1:7" ht="15" customHeight="1" x14ac:dyDescent="0.3">
      <c r="B59" s="661" t="s">
        <v>26</v>
      </c>
      <c r="C59" s="661"/>
      <c r="E59" s="653" t="s">
        <v>27</v>
      </c>
      <c r="F59" s="654"/>
      <c r="G59" s="653" t="s">
        <v>28</v>
      </c>
    </row>
    <row r="60" spans="1:7" ht="15" customHeight="1" x14ac:dyDescent="0.3">
      <c r="A60" s="655" t="s">
        <v>29</v>
      </c>
      <c r="B60" s="656" t="s">
        <v>142</v>
      </c>
      <c r="C60" s="656"/>
      <c r="E60" s="657">
        <v>43006</v>
      </c>
      <c r="G60" s="656"/>
    </row>
    <row r="61" spans="1:7" ht="15" customHeight="1" x14ac:dyDescent="0.3">
      <c r="A61" s="655" t="s">
        <v>30</v>
      </c>
      <c r="B61" s="658"/>
      <c r="C61" s="658"/>
      <c r="E61" s="658"/>
      <c r="G61" s="6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1" workbookViewId="0">
      <selection activeCell="A31" sqref="A31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2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60" t="s">
        <v>0</v>
      </c>
      <c r="B15" s="660"/>
      <c r="C15" s="660"/>
      <c r="D15" s="660"/>
      <c r="E15" s="660"/>
      <c r="F15" s="660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5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143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99.54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11.3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B20/100</f>
        <v>0.113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140</v>
      </c>
      <c r="F23" s="625" t="s">
        <v>17</v>
      </c>
    </row>
    <row r="24" spans="1:6" ht="16.5" customHeight="1" x14ac:dyDescent="0.3">
      <c r="A24" s="627">
        <v>1</v>
      </c>
      <c r="B24" s="628">
        <v>9722180</v>
      </c>
      <c r="C24" s="628">
        <v>43315</v>
      </c>
      <c r="D24" s="629">
        <v>1.1000000000000001</v>
      </c>
      <c r="E24" s="629">
        <v>43.2</v>
      </c>
      <c r="F24" s="630">
        <v>16</v>
      </c>
    </row>
    <row r="25" spans="1:6" ht="16.5" customHeight="1" x14ac:dyDescent="0.3">
      <c r="A25" s="627">
        <v>2</v>
      </c>
      <c r="B25" s="628">
        <v>9752828</v>
      </c>
      <c r="C25" s="628">
        <v>43066.5</v>
      </c>
      <c r="D25" s="629">
        <v>1.1000000000000001</v>
      </c>
      <c r="E25" s="629">
        <v>43.2</v>
      </c>
      <c r="F25" s="629">
        <v>16</v>
      </c>
    </row>
    <row r="26" spans="1:6" ht="16.5" customHeight="1" x14ac:dyDescent="0.3">
      <c r="A26" s="627">
        <v>3</v>
      </c>
      <c r="B26" s="628">
        <v>9715168</v>
      </c>
      <c r="C26" s="628">
        <v>43341.5</v>
      </c>
      <c r="D26" s="629">
        <v>1.1000000000000001</v>
      </c>
      <c r="E26" s="629">
        <v>43.4</v>
      </c>
      <c r="F26" s="629">
        <v>16</v>
      </c>
    </row>
    <row r="27" spans="1:6" ht="16.5" customHeight="1" x14ac:dyDescent="0.3">
      <c r="A27" s="627">
        <v>4</v>
      </c>
      <c r="B27" s="628">
        <v>9731931</v>
      </c>
      <c r="C27" s="628">
        <v>42756.2</v>
      </c>
      <c r="D27" s="629">
        <v>1.1000000000000001</v>
      </c>
      <c r="E27" s="629">
        <v>43.2</v>
      </c>
      <c r="F27" s="629">
        <v>16</v>
      </c>
    </row>
    <row r="28" spans="1:6" ht="16.5" customHeight="1" x14ac:dyDescent="0.3">
      <c r="A28" s="627">
        <v>5</v>
      </c>
      <c r="B28" s="628">
        <v>9666731</v>
      </c>
      <c r="C28" s="628">
        <v>42861.1</v>
      </c>
      <c r="D28" s="629">
        <v>1.1000000000000001</v>
      </c>
      <c r="E28" s="629">
        <v>43.3</v>
      </c>
      <c r="F28" s="629">
        <v>16</v>
      </c>
    </row>
    <row r="29" spans="1:6" ht="16.5" customHeight="1" x14ac:dyDescent="0.3">
      <c r="A29" s="627">
        <v>6</v>
      </c>
      <c r="B29" s="631">
        <v>9784286</v>
      </c>
      <c r="C29" s="631">
        <v>42939.6</v>
      </c>
      <c r="D29" s="632">
        <v>1.1000000000000001</v>
      </c>
      <c r="E29" s="632">
        <v>43.1</v>
      </c>
      <c r="F29" s="632">
        <v>16</v>
      </c>
    </row>
    <row r="30" spans="1:6" ht="16.5" customHeight="1" x14ac:dyDescent="0.3">
      <c r="A30" s="633" t="s">
        <v>18</v>
      </c>
      <c r="B30" s="634">
        <f>AVERAGE(B24:B29)</f>
        <v>9728854</v>
      </c>
      <c r="C30" s="635">
        <f>AVERAGE(C24:C29)</f>
        <v>43046.65</v>
      </c>
      <c r="D30" s="636">
        <f>AVERAGE(D24:D29)</f>
        <v>1.0999999999999999</v>
      </c>
      <c r="E30" s="636">
        <f>AVERAGE(E24:E29)</f>
        <v>43.233333333333341</v>
      </c>
      <c r="F30" s="636">
        <f>AVERAGE(F24:F29)</f>
        <v>16</v>
      </c>
    </row>
    <row r="31" spans="1:6" ht="16.5" customHeight="1" x14ac:dyDescent="0.3">
      <c r="A31" s="637" t="s">
        <v>19</v>
      </c>
      <c r="B31" s="638">
        <f>(STDEV(B24:B29)/B30)</f>
        <v>4.0462184811820741E-3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141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24</v>
      </c>
      <c r="C36" s="647"/>
      <c r="D36" s="647"/>
      <c r="E36" s="647"/>
      <c r="F36" s="647"/>
    </row>
    <row r="37" spans="1:6" ht="15.75" customHeight="1" x14ac:dyDescent="0.25">
      <c r="A37" s="621"/>
      <c r="B37" s="621"/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23" t="s">
        <v>143</v>
      </c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>
        <v>99.54</v>
      </c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>
        <v>15.15</v>
      </c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>
        <f>15.15/50</f>
        <v>0.30299999999999999</v>
      </c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140</v>
      </c>
      <c r="F44" s="625" t="s">
        <v>17</v>
      </c>
    </row>
    <row r="45" spans="1:6" ht="16.5" customHeight="1" x14ac:dyDescent="0.3">
      <c r="A45" s="627">
        <v>1</v>
      </c>
      <c r="B45" s="628">
        <v>3701715</v>
      </c>
      <c r="C45" s="628">
        <v>10587</v>
      </c>
      <c r="D45" s="629">
        <v>1.39</v>
      </c>
      <c r="E45" s="629">
        <v>17.48</v>
      </c>
      <c r="F45" s="630">
        <v>7.96</v>
      </c>
    </row>
    <row r="46" spans="1:6" ht="16.5" customHeight="1" x14ac:dyDescent="0.3">
      <c r="A46" s="627">
        <v>2</v>
      </c>
      <c r="B46" s="628">
        <v>3696160</v>
      </c>
      <c r="C46" s="628">
        <v>10535</v>
      </c>
      <c r="D46" s="629">
        <v>1.38</v>
      </c>
      <c r="E46" s="629">
        <v>17.260000000000002</v>
      </c>
      <c r="F46" s="629">
        <v>7.97</v>
      </c>
    </row>
    <row r="47" spans="1:6" ht="16.5" customHeight="1" x14ac:dyDescent="0.3">
      <c r="A47" s="627">
        <v>3</v>
      </c>
      <c r="B47" s="628">
        <v>3707017</v>
      </c>
      <c r="C47" s="628">
        <v>10593</v>
      </c>
      <c r="D47" s="629">
        <v>1.39</v>
      </c>
      <c r="E47" s="629">
        <v>17.329999999999998</v>
      </c>
      <c r="F47" s="629">
        <v>7.97</v>
      </c>
    </row>
    <row r="48" spans="1:6" ht="16.5" customHeight="1" x14ac:dyDescent="0.3">
      <c r="A48" s="627">
        <v>4</v>
      </c>
      <c r="B48" s="628">
        <v>3689986</v>
      </c>
      <c r="C48" s="628">
        <v>10565</v>
      </c>
      <c r="D48" s="629">
        <v>1.38</v>
      </c>
      <c r="E48" s="629">
        <v>17.29</v>
      </c>
      <c r="F48" s="629">
        <v>7.97</v>
      </c>
    </row>
    <row r="49" spans="1:8" ht="16.5" customHeight="1" x14ac:dyDescent="0.3">
      <c r="A49" s="627">
        <v>5</v>
      </c>
      <c r="B49" s="628">
        <v>3735683</v>
      </c>
      <c r="C49" s="628">
        <v>10422</v>
      </c>
      <c r="D49" s="629">
        <v>1.38</v>
      </c>
      <c r="E49" s="629">
        <v>17.079999999999998</v>
      </c>
      <c r="F49" s="629">
        <v>7.97</v>
      </c>
    </row>
    <row r="50" spans="1:8" ht="16.5" customHeight="1" x14ac:dyDescent="0.3">
      <c r="A50" s="627">
        <v>6</v>
      </c>
      <c r="B50" s="631">
        <v>3711073</v>
      </c>
      <c r="C50" s="631">
        <v>10326</v>
      </c>
      <c r="D50" s="632">
        <v>1.41</v>
      </c>
      <c r="E50" s="632">
        <v>17.12</v>
      </c>
      <c r="F50" s="632">
        <v>7.97</v>
      </c>
    </row>
    <row r="51" spans="1:8" ht="16.5" customHeight="1" x14ac:dyDescent="0.3">
      <c r="A51" s="633" t="s">
        <v>18</v>
      </c>
      <c r="B51" s="634">
        <f>AVERAGE(B45:B50)</f>
        <v>3706939</v>
      </c>
      <c r="C51" s="635">
        <f>AVERAGE(C45:C50)</f>
        <v>10504.666666666666</v>
      </c>
      <c r="D51" s="636">
        <f>AVERAGE(D45:D50)</f>
        <v>1.388333333333333</v>
      </c>
      <c r="E51" s="636">
        <f>AVERAGE(E45:E50)</f>
        <v>17.260000000000002</v>
      </c>
      <c r="F51" s="636">
        <f>AVERAGE(F45:F50)</f>
        <v>7.9683333333333328</v>
      </c>
    </row>
    <row r="52" spans="1:8" ht="16.5" customHeight="1" x14ac:dyDescent="0.3">
      <c r="A52" s="637" t="s">
        <v>19</v>
      </c>
      <c r="B52" s="638">
        <f>(STDEV(B45:B50)/B51)</f>
        <v>4.3064307993352768E-3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23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24</v>
      </c>
      <c r="C57" s="647"/>
      <c r="D57" s="647"/>
      <c r="E57" s="647"/>
      <c r="F57" s="647"/>
    </row>
    <row r="58" spans="1:8" ht="14.25" customHeight="1" thickBot="1" x14ac:dyDescent="0.3">
      <c r="A58" s="648"/>
      <c r="B58" s="649"/>
      <c r="D58" s="650"/>
      <c r="E58" s="651"/>
      <c r="G58" s="652"/>
      <c r="H58" s="652"/>
    </row>
    <row r="59" spans="1:8" ht="15" customHeight="1" x14ac:dyDescent="0.3">
      <c r="B59" s="661" t="s">
        <v>26</v>
      </c>
      <c r="C59" s="661"/>
      <c r="F59" s="653" t="s">
        <v>27</v>
      </c>
      <c r="G59" s="654"/>
      <c r="H59" s="653" t="s">
        <v>28</v>
      </c>
    </row>
    <row r="60" spans="1:8" ht="15" customHeight="1" x14ac:dyDescent="0.3">
      <c r="A60" s="655" t="s">
        <v>29</v>
      </c>
      <c r="B60" s="656" t="s">
        <v>142</v>
      </c>
      <c r="C60" s="656"/>
      <c r="F60" s="657">
        <v>43006</v>
      </c>
      <c r="H60" s="656"/>
    </row>
    <row r="61" spans="1:8" ht="15" customHeight="1" x14ac:dyDescent="0.3">
      <c r="A61" s="655" t="s">
        <v>30</v>
      </c>
      <c r="B61" s="658"/>
      <c r="C61" s="658"/>
      <c r="F61" s="658"/>
      <c r="H61" s="65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3" workbookViewId="0">
      <selection activeCell="A30" sqref="A30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2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60" t="s">
        <v>0</v>
      </c>
      <c r="B15" s="660"/>
      <c r="C15" s="660"/>
      <c r="D15" s="660"/>
      <c r="E15" s="660"/>
      <c r="F15" s="660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5</v>
      </c>
      <c r="D17" s="620"/>
      <c r="E17" s="620"/>
      <c r="F17" s="621"/>
    </row>
    <row r="18" spans="1:6" ht="16.5" customHeight="1" x14ac:dyDescent="0.3">
      <c r="A18" s="622" t="s">
        <v>4</v>
      </c>
      <c r="B18" s="619" t="s">
        <v>137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97.21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24.05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B20/100</f>
        <v>0.24050000000000002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140</v>
      </c>
      <c r="F23" s="625" t="s">
        <v>17</v>
      </c>
    </row>
    <row r="24" spans="1:6" ht="16.5" customHeight="1" x14ac:dyDescent="0.3">
      <c r="A24" s="627">
        <v>1</v>
      </c>
      <c r="B24" s="628">
        <v>4131605</v>
      </c>
      <c r="C24" s="628">
        <v>372079</v>
      </c>
      <c r="D24" s="629">
        <v>1.2</v>
      </c>
      <c r="E24" s="629">
        <v>38.799999999999997</v>
      </c>
      <c r="F24" s="630">
        <v>25.2</v>
      </c>
    </row>
    <row r="25" spans="1:6" ht="16.5" customHeight="1" x14ac:dyDescent="0.3">
      <c r="A25" s="627">
        <v>2</v>
      </c>
      <c r="B25" s="628">
        <v>4138787</v>
      </c>
      <c r="C25" s="628">
        <v>371813</v>
      </c>
      <c r="D25" s="629">
        <v>1.2</v>
      </c>
      <c r="E25" s="629">
        <v>38.700000000000003</v>
      </c>
      <c r="F25" s="629">
        <v>25.2</v>
      </c>
    </row>
    <row r="26" spans="1:6" ht="16.5" customHeight="1" x14ac:dyDescent="0.3">
      <c r="A26" s="627">
        <v>3</v>
      </c>
      <c r="B26" s="628">
        <v>4131064</v>
      </c>
      <c r="C26" s="628">
        <v>372887.8</v>
      </c>
      <c r="D26" s="629">
        <v>1.2</v>
      </c>
      <c r="E26" s="629">
        <v>38.799999999999997</v>
      </c>
      <c r="F26" s="629">
        <v>25.2</v>
      </c>
    </row>
    <row r="27" spans="1:6" ht="16.5" customHeight="1" x14ac:dyDescent="0.3">
      <c r="A27" s="627">
        <v>4</v>
      </c>
      <c r="B27" s="628">
        <v>4132885</v>
      </c>
      <c r="C27" s="628">
        <v>373302.5</v>
      </c>
      <c r="D27" s="629">
        <v>1.3</v>
      </c>
      <c r="E27" s="629">
        <v>38.6</v>
      </c>
      <c r="F27" s="629">
        <v>25.2</v>
      </c>
    </row>
    <row r="28" spans="1:6" ht="16.5" customHeight="1" x14ac:dyDescent="0.3">
      <c r="A28" s="627">
        <v>5</v>
      </c>
      <c r="B28" s="628">
        <v>4106927</v>
      </c>
      <c r="C28" s="628">
        <v>372799.3</v>
      </c>
      <c r="D28" s="629">
        <v>1.3</v>
      </c>
      <c r="E28" s="629">
        <v>38.700000000000003</v>
      </c>
      <c r="F28" s="629">
        <v>25.2</v>
      </c>
    </row>
    <row r="29" spans="1:6" ht="16.5" customHeight="1" x14ac:dyDescent="0.3">
      <c r="A29" s="627">
        <v>6</v>
      </c>
      <c r="B29" s="631">
        <v>4153058</v>
      </c>
      <c r="C29" s="631">
        <v>373208.1</v>
      </c>
      <c r="D29" s="632">
        <v>1.2</v>
      </c>
      <c r="E29" s="632">
        <v>38.799999999999997</v>
      </c>
      <c r="F29" s="632">
        <v>25.1</v>
      </c>
    </row>
    <row r="30" spans="1:6" ht="16.5" customHeight="1" x14ac:dyDescent="0.3">
      <c r="A30" s="633" t="s">
        <v>18</v>
      </c>
      <c r="B30" s="634">
        <f>AVERAGE(B24:B29)</f>
        <v>4132387.6666666665</v>
      </c>
      <c r="C30" s="635">
        <f>AVERAGE(C24:C29)</f>
        <v>372681.6166666667</v>
      </c>
      <c r="D30" s="636">
        <f>AVERAGE(D24:D29)</f>
        <v>1.2333333333333332</v>
      </c>
      <c r="E30" s="636">
        <f>AVERAGE(E24:E29)</f>
        <v>38.733333333333341</v>
      </c>
      <c r="F30" s="636">
        <f>AVERAGE(F24:F29)</f>
        <v>25.183333333333334</v>
      </c>
    </row>
    <row r="31" spans="1:6" ht="16.5" customHeight="1" x14ac:dyDescent="0.3">
      <c r="A31" s="637" t="s">
        <v>19</v>
      </c>
      <c r="B31" s="638">
        <f>(STDEV(B24:B29)/B30)</f>
        <v>3.6202861327755539E-3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141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24</v>
      </c>
      <c r="C36" s="647"/>
      <c r="D36" s="647"/>
      <c r="E36" s="647"/>
      <c r="F36" s="647"/>
    </row>
    <row r="37" spans="1:6" ht="15.75" customHeight="1" x14ac:dyDescent="0.25">
      <c r="A37" s="621"/>
      <c r="B37" s="621"/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19" t="s">
        <v>137</v>
      </c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>
        <v>97.21</v>
      </c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>
        <v>28.47</v>
      </c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>
        <v>0.56940000000000002</v>
      </c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140</v>
      </c>
      <c r="F44" s="625" t="s">
        <v>17</v>
      </c>
    </row>
    <row r="45" spans="1:6" ht="16.5" customHeight="1" x14ac:dyDescent="0.3">
      <c r="A45" s="627">
        <v>1</v>
      </c>
      <c r="B45" s="628">
        <v>2102763</v>
      </c>
      <c r="C45" s="628">
        <v>11384</v>
      </c>
      <c r="D45" s="629">
        <v>1.53</v>
      </c>
      <c r="E45" s="629">
        <v>2.23</v>
      </c>
      <c r="F45" s="630">
        <v>8.68</v>
      </c>
    </row>
    <row r="46" spans="1:6" ht="16.5" customHeight="1" x14ac:dyDescent="0.3">
      <c r="A46" s="627">
        <v>2</v>
      </c>
      <c r="B46" s="628">
        <v>2105212</v>
      </c>
      <c r="C46" s="628">
        <v>11177</v>
      </c>
      <c r="D46" s="629">
        <v>1.5</v>
      </c>
      <c r="E46" s="629">
        <v>2.2000000000000002</v>
      </c>
      <c r="F46" s="629">
        <v>8.69</v>
      </c>
    </row>
    <row r="47" spans="1:6" ht="16.5" customHeight="1" x14ac:dyDescent="0.3">
      <c r="A47" s="627">
        <v>3</v>
      </c>
      <c r="B47" s="628">
        <v>2110501</v>
      </c>
      <c r="C47" s="628">
        <v>11050</v>
      </c>
      <c r="D47" s="629">
        <v>1.5</v>
      </c>
      <c r="E47" s="629">
        <v>2.19</v>
      </c>
      <c r="F47" s="629">
        <v>8.69</v>
      </c>
    </row>
    <row r="48" spans="1:6" ht="16.5" customHeight="1" x14ac:dyDescent="0.3">
      <c r="A48" s="627">
        <v>4</v>
      </c>
      <c r="B48" s="628">
        <v>2103257</v>
      </c>
      <c r="C48" s="628">
        <v>11095</v>
      </c>
      <c r="D48" s="629">
        <v>1.59</v>
      </c>
      <c r="E48" s="629">
        <v>2.2000000000000002</v>
      </c>
      <c r="F48" s="629">
        <v>8.68</v>
      </c>
    </row>
    <row r="49" spans="1:8" ht="16.5" customHeight="1" x14ac:dyDescent="0.3">
      <c r="A49" s="627">
        <v>5</v>
      </c>
      <c r="B49" s="628">
        <v>2127510</v>
      </c>
      <c r="C49" s="628">
        <v>11438</v>
      </c>
      <c r="D49" s="629">
        <v>1.57</v>
      </c>
      <c r="E49" s="629">
        <v>2.21</v>
      </c>
      <c r="F49" s="629">
        <v>8.68</v>
      </c>
    </row>
    <row r="50" spans="1:8" ht="16.5" customHeight="1" x14ac:dyDescent="0.3">
      <c r="A50" s="627">
        <v>6</v>
      </c>
      <c r="B50" s="631">
        <v>2117497</v>
      </c>
      <c r="C50" s="631">
        <v>11266</v>
      </c>
      <c r="D50" s="632">
        <v>1.61</v>
      </c>
      <c r="E50" s="632">
        <v>2.17</v>
      </c>
      <c r="F50" s="632">
        <v>8.68</v>
      </c>
    </row>
    <row r="51" spans="1:8" ht="16.5" customHeight="1" x14ac:dyDescent="0.3">
      <c r="A51" s="633" t="s">
        <v>18</v>
      </c>
      <c r="B51" s="634">
        <f>AVERAGE(B45:B50)</f>
        <v>2111123.3333333335</v>
      </c>
      <c r="C51" s="635">
        <f>AVERAGE(C45:C50)</f>
        <v>11235</v>
      </c>
      <c r="D51" s="636">
        <f>AVERAGE(D45:D50)</f>
        <v>1.55</v>
      </c>
      <c r="E51" s="636">
        <f>AVERAGE(E45:E50)</f>
        <v>2.2000000000000002</v>
      </c>
      <c r="F51" s="636">
        <f>AVERAGE(F45:F50)</f>
        <v>8.6833333333333318</v>
      </c>
    </row>
    <row r="52" spans="1:8" ht="16.5" customHeight="1" x14ac:dyDescent="0.3">
      <c r="A52" s="637" t="s">
        <v>19</v>
      </c>
      <c r="B52" s="638">
        <f>(STDEV(B45:B50)/B51)</f>
        <v>4.6229564332500904E-3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23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24</v>
      </c>
      <c r="C57" s="647"/>
      <c r="D57" s="647"/>
      <c r="E57" s="647"/>
      <c r="F57" s="647"/>
    </row>
    <row r="58" spans="1:8" ht="14.25" customHeight="1" thickBot="1" x14ac:dyDescent="0.3">
      <c r="A58" s="648"/>
      <c r="B58" s="649"/>
      <c r="D58" s="650"/>
      <c r="E58" s="651"/>
      <c r="G58" s="652"/>
      <c r="H58" s="652"/>
    </row>
    <row r="59" spans="1:8" ht="15" customHeight="1" x14ac:dyDescent="0.3">
      <c r="B59" s="661" t="s">
        <v>26</v>
      </c>
      <c r="C59" s="661"/>
      <c r="F59" s="653" t="s">
        <v>27</v>
      </c>
      <c r="G59" s="654"/>
      <c r="H59" s="653" t="s">
        <v>28</v>
      </c>
    </row>
    <row r="60" spans="1:8" ht="15" customHeight="1" x14ac:dyDescent="0.3">
      <c r="A60" s="655" t="s">
        <v>29</v>
      </c>
      <c r="B60" s="656" t="s">
        <v>142</v>
      </c>
      <c r="C60" s="656"/>
      <c r="F60" s="657">
        <v>43006</v>
      </c>
      <c r="H60" s="656"/>
    </row>
    <row r="61" spans="1:8" ht="15" customHeight="1" x14ac:dyDescent="0.3">
      <c r="A61" s="655" t="s">
        <v>30</v>
      </c>
      <c r="B61" s="658"/>
      <c r="C61" s="658"/>
      <c r="F61" s="658"/>
      <c r="H61" s="65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D28" sqref="D2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5" t="s">
        <v>31</v>
      </c>
      <c r="B11" s="666"/>
      <c r="C11" s="666"/>
      <c r="D11" s="666"/>
      <c r="E11" s="666"/>
      <c r="F11" s="667"/>
      <c r="G11" s="43"/>
    </row>
    <row r="12" spans="1:7" ht="16.5" customHeight="1" x14ac:dyDescent="0.3">
      <c r="A12" s="664" t="s">
        <v>32</v>
      </c>
      <c r="B12" s="664"/>
      <c r="C12" s="664"/>
      <c r="D12" s="664"/>
      <c r="E12" s="664"/>
      <c r="F12" s="664"/>
      <c r="G12" s="42"/>
    </row>
    <row r="14" spans="1:7" ht="16.5" customHeight="1" x14ac:dyDescent="0.3">
      <c r="A14" s="669" t="s">
        <v>33</v>
      </c>
      <c r="B14" s="669"/>
      <c r="C14" s="12" t="s">
        <v>5</v>
      </c>
    </row>
    <row r="15" spans="1:7" ht="16.5" customHeight="1" x14ac:dyDescent="0.3">
      <c r="A15" s="669" t="s">
        <v>34</v>
      </c>
      <c r="B15" s="669"/>
      <c r="C15" s="12" t="s">
        <v>7</v>
      </c>
    </row>
    <row r="16" spans="1:7" ht="16.5" customHeight="1" x14ac:dyDescent="0.3">
      <c r="A16" s="669" t="s">
        <v>35</v>
      </c>
      <c r="B16" s="669"/>
      <c r="C16" s="12" t="s">
        <v>9</v>
      </c>
    </row>
    <row r="17" spans="1:5" ht="16.5" customHeight="1" x14ac:dyDescent="0.3">
      <c r="A17" s="669" t="s">
        <v>36</v>
      </c>
      <c r="B17" s="669"/>
      <c r="C17" s="12" t="s">
        <v>11</v>
      </c>
    </row>
    <row r="18" spans="1:5" ht="16.5" customHeight="1" x14ac:dyDescent="0.3">
      <c r="A18" s="669" t="s">
        <v>37</v>
      </c>
      <c r="B18" s="669"/>
      <c r="C18" s="49" t="s">
        <v>12</v>
      </c>
    </row>
    <row r="19" spans="1:5" ht="16.5" customHeight="1" x14ac:dyDescent="0.3">
      <c r="A19" s="669" t="s">
        <v>38</v>
      </c>
      <c r="B19" s="66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64" t="s">
        <v>1</v>
      </c>
      <c r="B21" s="664"/>
      <c r="C21" s="11" t="s">
        <v>39</v>
      </c>
      <c r="D21" s="18"/>
    </row>
    <row r="22" spans="1:5" ht="15.75" customHeight="1" x14ac:dyDescent="0.3">
      <c r="A22" s="668"/>
      <c r="B22" s="668"/>
      <c r="C22" s="9"/>
      <c r="D22" s="668"/>
      <c r="E22" s="668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1891.35</v>
      </c>
      <c r="D24" s="39">
        <f t="shared" ref="D24:D43" si="0">(C24-$C$46)/$C$46</f>
        <v>-2.8406664494515957E-3</v>
      </c>
      <c r="E24" s="5"/>
    </row>
    <row r="25" spans="1:5" ht="15.75" customHeight="1" x14ac:dyDescent="0.3">
      <c r="C25" s="47">
        <v>1916.52</v>
      </c>
      <c r="D25" s="40">
        <f t="shared" si="0"/>
        <v>1.0429484725882095E-2</v>
      </c>
      <c r="E25" s="5"/>
    </row>
    <row r="26" spans="1:5" ht="15.75" customHeight="1" x14ac:dyDescent="0.3">
      <c r="C26" s="47">
        <v>1903.5</v>
      </c>
      <c r="D26" s="40">
        <f t="shared" si="0"/>
        <v>3.5650680273185708E-3</v>
      </c>
      <c r="E26" s="5"/>
    </row>
    <row r="27" spans="1:5" ht="15.75" customHeight="1" x14ac:dyDescent="0.3">
      <c r="C27" s="47">
        <v>1881.03</v>
      </c>
      <c r="D27" s="40">
        <f t="shared" si="0"/>
        <v>-8.2815865976217373E-3</v>
      </c>
      <c r="E27" s="5"/>
    </row>
    <row r="28" spans="1:5" ht="15.75" customHeight="1" x14ac:dyDescent="0.3">
      <c r="C28" s="47">
        <v>1859.33</v>
      </c>
      <c r="D28" s="40">
        <f t="shared" si="0"/>
        <v>-1.972228109522765E-2</v>
      </c>
      <c r="E28" s="5"/>
    </row>
    <row r="29" spans="1:5" ht="15.75" customHeight="1" x14ac:dyDescent="0.3">
      <c r="C29" s="47">
        <v>1896.88</v>
      </c>
      <c r="D29" s="40">
        <f t="shared" si="0"/>
        <v>7.486537413194661E-5</v>
      </c>
      <c r="E29" s="5"/>
    </row>
    <row r="30" spans="1:5" ht="15.75" customHeight="1" x14ac:dyDescent="0.3">
      <c r="C30" s="47">
        <v>1920.76</v>
      </c>
      <c r="D30" s="40">
        <f t="shared" si="0"/>
        <v>1.2664901530944265E-2</v>
      </c>
      <c r="E30" s="5"/>
    </row>
    <row r="31" spans="1:5" ht="15.75" customHeight="1" x14ac:dyDescent="0.3">
      <c r="C31" s="47">
        <v>1885.58</v>
      </c>
      <c r="D31" s="40">
        <f t="shared" si="0"/>
        <v>-5.8827312997366543E-3</v>
      </c>
      <c r="E31" s="5"/>
    </row>
    <row r="32" spans="1:5" ht="15.75" customHeight="1" x14ac:dyDescent="0.3">
      <c r="C32" s="47">
        <v>1878.36</v>
      </c>
      <c r="D32" s="40">
        <f t="shared" si="0"/>
        <v>-9.6892665196774315E-3</v>
      </c>
      <c r="E32" s="5"/>
    </row>
    <row r="33" spans="1:7" ht="15.75" customHeight="1" x14ac:dyDescent="0.3">
      <c r="C33" s="47">
        <v>1928.87</v>
      </c>
      <c r="D33" s="40">
        <f t="shared" si="0"/>
        <v>1.6940663391570195E-2</v>
      </c>
      <c r="E33" s="5"/>
    </row>
    <row r="34" spans="1:7" ht="15.75" customHeight="1" x14ac:dyDescent="0.3">
      <c r="C34" s="47">
        <v>1862.5</v>
      </c>
      <c r="D34" s="40">
        <f t="shared" si="0"/>
        <v>-1.8050990700876891E-2</v>
      </c>
      <c r="E34" s="5"/>
    </row>
    <row r="35" spans="1:7" ht="15.75" customHeight="1" x14ac:dyDescent="0.3">
      <c r="C35" s="47">
        <v>1928.81</v>
      </c>
      <c r="D35" s="40">
        <f t="shared" si="0"/>
        <v>1.6909030134894813E-2</v>
      </c>
      <c r="E35" s="5"/>
    </row>
    <row r="36" spans="1:7" ht="15.75" customHeight="1" x14ac:dyDescent="0.3">
      <c r="C36" s="47">
        <v>1936.22</v>
      </c>
      <c r="D36" s="40">
        <f t="shared" si="0"/>
        <v>2.0815737334307746E-2</v>
      </c>
      <c r="E36" s="5"/>
    </row>
    <row r="37" spans="1:7" ht="15.75" customHeight="1" x14ac:dyDescent="0.3">
      <c r="C37" s="47">
        <v>1914.86</v>
      </c>
      <c r="D37" s="40">
        <f t="shared" si="0"/>
        <v>9.5542979578624315E-3</v>
      </c>
      <c r="E37" s="5"/>
    </row>
    <row r="38" spans="1:7" ht="15.75" customHeight="1" x14ac:dyDescent="0.3">
      <c r="C38" s="47">
        <v>1864.91</v>
      </c>
      <c r="D38" s="40">
        <f t="shared" si="0"/>
        <v>-1.6780388224414626E-2</v>
      </c>
      <c r="E38" s="5"/>
    </row>
    <row r="39" spans="1:7" ht="15.75" customHeight="1" x14ac:dyDescent="0.3">
      <c r="C39" s="47">
        <v>1934.88</v>
      </c>
      <c r="D39" s="40">
        <f t="shared" si="0"/>
        <v>2.010926126855701E-2</v>
      </c>
      <c r="E39" s="5"/>
    </row>
    <row r="40" spans="1:7" ht="15.75" customHeight="1" x14ac:dyDescent="0.3">
      <c r="C40" s="47">
        <v>1894.19</v>
      </c>
      <c r="D40" s="40">
        <f t="shared" si="0"/>
        <v>-1.3433589668155406E-3</v>
      </c>
      <c r="E40" s="5"/>
    </row>
    <row r="41" spans="1:7" ht="15.75" customHeight="1" x14ac:dyDescent="0.3">
      <c r="C41" s="47">
        <v>1867.49</v>
      </c>
      <c r="D41" s="40">
        <f t="shared" si="0"/>
        <v>-1.5420158187372121E-2</v>
      </c>
      <c r="E41" s="5"/>
    </row>
    <row r="42" spans="1:7" ht="15.75" customHeight="1" x14ac:dyDescent="0.3">
      <c r="C42" s="47">
        <v>1863.63</v>
      </c>
      <c r="D42" s="40">
        <f t="shared" si="0"/>
        <v>-1.7455231033489983E-2</v>
      </c>
      <c r="E42" s="5"/>
    </row>
    <row r="43" spans="1:7" ht="16.5" customHeight="1" x14ac:dyDescent="0.3">
      <c r="C43" s="48">
        <v>1905.09</v>
      </c>
      <c r="D43" s="41">
        <f t="shared" si="0"/>
        <v>4.4033493292168395E-3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37934.759999999995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1896.7379999999998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62">
        <f>C46</f>
        <v>1896.7379999999998</v>
      </c>
      <c r="C49" s="45">
        <f>-IF(C46&lt;=80,10%,IF(C46&lt;250,7.5%,5%))</f>
        <v>-0.05</v>
      </c>
      <c r="D49" s="33">
        <f>IF(C46&lt;=80,C46*0.9,IF(C46&lt;250,C46*0.925,C46*0.95))</f>
        <v>1801.9010999999998</v>
      </c>
    </row>
    <row r="50" spans="1:6" ht="17.25" customHeight="1" x14ac:dyDescent="0.3">
      <c r="B50" s="663"/>
      <c r="C50" s="46">
        <f>IF(C46&lt;=80, 10%, IF(C46&lt;250, 7.5%, 5%))</f>
        <v>0.05</v>
      </c>
      <c r="D50" s="33">
        <f>IF(C46&lt;=80, C46*1.1, IF(C46&lt;250, C46*1.075, C46*1.05))</f>
        <v>1991.5748999999998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4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3" zoomScale="60" zoomScaleNormal="40" zoomScalePageLayoutView="50" workbookViewId="0">
      <selection activeCell="G101" sqref="G10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0" t="s">
        <v>45</v>
      </c>
      <c r="B1" s="700"/>
      <c r="C1" s="700"/>
      <c r="D1" s="700"/>
      <c r="E1" s="700"/>
      <c r="F1" s="700"/>
      <c r="G1" s="700"/>
      <c r="H1" s="700"/>
      <c r="I1" s="700"/>
    </row>
    <row r="2" spans="1:9" ht="18.75" customHeight="1" x14ac:dyDescent="0.25">
      <c r="A2" s="700"/>
      <c r="B2" s="700"/>
      <c r="C2" s="700"/>
      <c r="D2" s="700"/>
      <c r="E2" s="700"/>
      <c r="F2" s="700"/>
      <c r="G2" s="700"/>
      <c r="H2" s="700"/>
      <c r="I2" s="700"/>
    </row>
    <row r="3" spans="1:9" ht="18.75" customHeight="1" x14ac:dyDescent="0.25">
      <c r="A3" s="700"/>
      <c r="B3" s="700"/>
      <c r="C3" s="700"/>
      <c r="D3" s="700"/>
      <c r="E3" s="700"/>
      <c r="F3" s="700"/>
      <c r="G3" s="700"/>
      <c r="H3" s="700"/>
      <c r="I3" s="700"/>
    </row>
    <row r="4" spans="1:9" ht="18.75" customHeight="1" x14ac:dyDescent="0.25">
      <c r="A4" s="700"/>
      <c r="B4" s="700"/>
      <c r="C4" s="700"/>
      <c r="D4" s="700"/>
      <c r="E4" s="700"/>
      <c r="F4" s="700"/>
      <c r="G4" s="700"/>
      <c r="H4" s="700"/>
      <c r="I4" s="700"/>
    </row>
    <row r="5" spans="1:9" ht="18.75" customHeight="1" x14ac:dyDescent="0.25">
      <c r="A5" s="700"/>
      <c r="B5" s="700"/>
      <c r="C5" s="700"/>
      <c r="D5" s="700"/>
      <c r="E5" s="700"/>
      <c r="F5" s="700"/>
      <c r="G5" s="700"/>
      <c r="H5" s="700"/>
      <c r="I5" s="700"/>
    </row>
    <row r="6" spans="1:9" ht="18.75" customHeight="1" x14ac:dyDescent="0.25">
      <c r="A6" s="700"/>
      <c r="B6" s="700"/>
      <c r="C6" s="700"/>
      <c r="D6" s="700"/>
      <c r="E6" s="700"/>
      <c r="F6" s="700"/>
      <c r="G6" s="700"/>
      <c r="H6" s="700"/>
      <c r="I6" s="700"/>
    </row>
    <row r="7" spans="1:9" ht="18.75" customHeight="1" x14ac:dyDescent="0.25">
      <c r="A7" s="700"/>
      <c r="B7" s="700"/>
      <c r="C7" s="700"/>
      <c r="D7" s="700"/>
      <c r="E7" s="700"/>
      <c r="F7" s="700"/>
      <c r="G7" s="700"/>
      <c r="H7" s="700"/>
      <c r="I7" s="700"/>
    </row>
    <row r="8" spans="1:9" x14ac:dyDescent="0.25">
      <c r="A8" s="701" t="s">
        <v>46</v>
      </c>
      <c r="B8" s="701"/>
      <c r="C8" s="701"/>
      <c r="D8" s="701"/>
      <c r="E8" s="701"/>
      <c r="F8" s="701"/>
      <c r="G8" s="701"/>
      <c r="H8" s="701"/>
      <c r="I8" s="701"/>
    </row>
    <row r="9" spans="1:9" x14ac:dyDescent="0.25">
      <c r="A9" s="701"/>
      <c r="B9" s="701"/>
      <c r="C9" s="701"/>
      <c r="D9" s="701"/>
      <c r="E9" s="701"/>
      <c r="F9" s="701"/>
      <c r="G9" s="701"/>
      <c r="H9" s="701"/>
      <c r="I9" s="701"/>
    </row>
    <row r="10" spans="1:9" x14ac:dyDescent="0.25">
      <c r="A10" s="701"/>
      <c r="B10" s="701"/>
      <c r="C10" s="701"/>
      <c r="D10" s="701"/>
      <c r="E10" s="701"/>
      <c r="F10" s="701"/>
      <c r="G10" s="701"/>
      <c r="H10" s="701"/>
      <c r="I10" s="701"/>
    </row>
    <row r="11" spans="1:9" x14ac:dyDescent="0.25">
      <c r="A11" s="701"/>
      <c r="B11" s="701"/>
      <c r="C11" s="701"/>
      <c r="D11" s="701"/>
      <c r="E11" s="701"/>
      <c r="F11" s="701"/>
      <c r="G11" s="701"/>
      <c r="H11" s="701"/>
      <c r="I11" s="701"/>
    </row>
    <row r="12" spans="1:9" x14ac:dyDescent="0.25">
      <c r="A12" s="701"/>
      <c r="B12" s="701"/>
      <c r="C12" s="701"/>
      <c r="D12" s="701"/>
      <c r="E12" s="701"/>
      <c r="F12" s="701"/>
      <c r="G12" s="701"/>
      <c r="H12" s="701"/>
      <c r="I12" s="701"/>
    </row>
    <row r="13" spans="1:9" x14ac:dyDescent="0.25">
      <c r="A13" s="701"/>
      <c r="B13" s="701"/>
      <c r="C13" s="701"/>
      <c r="D13" s="701"/>
      <c r="E13" s="701"/>
      <c r="F13" s="701"/>
      <c r="G13" s="701"/>
      <c r="H13" s="701"/>
      <c r="I13" s="701"/>
    </row>
    <row r="14" spans="1:9" x14ac:dyDescent="0.25">
      <c r="A14" s="701"/>
      <c r="B14" s="701"/>
      <c r="C14" s="701"/>
      <c r="D14" s="701"/>
      <c r="E14" s="701"/>
      <c r="F14" s="701"/>
      <c r="G14" s="701"/>
      <c r="H14" s="701"/>
      <c r="I14" s="701"/>
    </row>
    <row r="15" spans="1:9" ht="19.5" customHeight="1" x14ac:dyDescent="0.3">
      <c r="A15" s="50"/>
    </row>
    <row r="16" spans="1:9" ht="19.5" customHeight="1" x14ac:dyDescent="0.3">
      <c r="A16" s="673" t="s">
        <v>31</v>
      </c>
      <c r="B16" s="674"/>
      <c r="C16" s="674"/>
      <c r="D16" s="674"/>
      <c r="E16" s="674"/>
      <c r="F16" s="674"/>
      <c r="G16" s="674"/>
      <c r="H16" s="675"/>
    </row>
    <row r="17" spans="1:14" ht="20.25" customHeight="1" x14ac:dyDescent="0.25">
      <c r="A17" s="676" t="s">
        <v>47</v>
      </c>
      <c r="B17" s="676"/>
      <c r="C17" s="676"/>
      <c r="D17" s="676"/>
      <c r="E17" s="676"/>
      <c r="F17" s="676"/>
      <c r="G17" s="676"/>
      <c r="H17" s="676"/>
    </row>
    <row r="18" spans="1:14" ht="26.25" customHeight="1" x14ac:dyDescent="0.4">
      <c r="A18" s="52" t="s">
        <v>33</v>
      </c>
      <c r="B18" s="672" t="s">
        <v>5</v>
      </c>
      <c r="C18" s="672"/>
      <c r="D18" s="197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6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77" t="s">
        <v>133</v>
      </c>
      <c r="C20" s="677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77" t="s">
        <v>11</v>
      </c>
      <c r="C21" s="677"/>
      <c r="D21" s="677"/>
      <c r="E21" s="677"/>
      <c r="F21" s="677"/>
      <c r="G21" s="677"/>
      <c r="H21" s="677"/>
      <c r="I21" s="56"/>
    </row>
    <row r="22" spans="1:14" ht="26.25" customHeight="1" x14ac:dyDescent="0.4">
      <c r="A22" s="52" t="s">
        <v>37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43006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72" t="s">
        <v>131</v>
      </c>
      <c r="C26" s="672"/>
    </row>
    <row r="27" spans="1:14" ht="26.25" customHeight="1" x14ac:dyDescent="0.4">
      <c r="A27" s="61" t="s">
        <v>48</v>
      </c>
      <c r="B27" s="678" t="s">
        <v>132</v>
      </c>
      <c r="C27" s="678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49</v>
      </c>
      <c r="B29" s="63">
        <v>0</v>
      </c>
      <c r="C29" s="679" t="s">
        <v>50</v>
      </c>
      <c r="D29" s="680"/>
      <c r="E29" s="680"/>
      <c r="F29" s="680"/>
      <c r="G29" s="681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82" t="s">
        <v>53</v>
      </c>
      <c r="D31" s="683"/>
      <c r="E31" s="683"/>
      <c r="F31" s="683"/>
      <c r="G31" s="683"/>
      <c r="H31" s="684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82" t="s">
        <v>55</v>
      </c>
      <c r="D32" s="683"/>
      <c r="E32" s="683"/>
      <c r="F32" s="683"/>
      <c r="G32" s="683"/>
      <c r="H32" s="684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685" t="s">
        <v>59</v>
      </c>
      <c r="E36" s="686"/>
      <c r="F36" s="685" t="s">
        <v>60</v>
      </c>
      <c r="G36" s="68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9650009</v>
      </c>
      <c r="E38" s="85">
        <f>IF(ISBLANK(D38),"-",$D$48/$D$45*D38)</f>
        <v>10295154.880592316</v>
      </c>
      <c r="F38" s="84">
        <v>11214198</v>
      </c>
      <c r="G38" s="86">
        <f>IF(ISBLANK(F38),"-",$D$48/$F$45*F38)</f>
        <v>10746602.575344197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9756635</v>
      </c>
      <c r="E39" s="90">
        <f>IF(ISBLANK(D39),"-",$D$48/$D$45*D39)</f>
        <v>10408909.301370373</v>
      </c>
      <c r="F39" s="89">
        <v>11134525</v>
      </c>
      <c r="G39" s="91">
        <f>IF(ISBLANK(F39),"-",$D$48/$F$45*F39)</f>
        <v>10670251.679186897</v>
      </c>
      <c r="I39" s="689">
        <f>ABS((F43/D43*D42)-F42)/D42</f>
        <v>3.7764174998303437E-2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9766366</v>
      </c>
      <c r="E40" s="90">
        <f>IF(ISBLANK(D40),"-",$D$48/$D$45*D40)</f>
        <v>10419290.861858353</v>
      </c>
      <c r="F40" s="89">
        <v>11230535</v>
      </c>
      <c r="G40" s="91">
        <f>IF(ISBLANK(F40),"-",$D$48/$F$45*F40)</f>
        <v>10762258.375810124</v>
      </c>
      <c r="I40" s="689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9724336.666666666</v>
      </c>
      <c r="E42" s="100">
        <f>AVERAGE(E38:E41)</f>
        <v>10374451.681273682</v>
      </c>
      <c r="F42" s="99">
        <f>AVERAGE(F38:F41)</f>
        <v>11193086</v>
      </c>
      <c r="G42" s="101">
        <f>AVERAGE(G38:G41)</f>
        <v>10726370.876780406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613">
        <v>11.3</v>
      </c>
      <c r="E43" s="92"/>
      <c r="F43" s="104">
        <v>12.58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11.3</v>
      </c>
      <c r="E44" s="107"/>
      <c r="F44" s="106">
        <f>F43*$B$34</f>
        <v>12.58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11.248020000000002</v>
      </c>
      <c r="E45" s="110"/>
      <c r="F45" s="109">
        <f>F44*$B$30/100</f>
        <v>12.522132000000001</v>
      </c>
      <c r="H45" s="102"/>
    </row>
    <row r="46" spans="1:14" ht="19.5" customHeight="1" x14ac:dyDescent="0.3">
      <c r="A46" s="690" t="s">
        <v>78</v>
      </c>
      <c r="B46" s="691"/>
      <c r="C46" s="105" t="s">
        <v>79</v>
      </c>
      <c r="D46" s="111">
        <f>D45/$B$45</f>
        <v>0.11248020000000002</v>
      </c>
      <c r="E46" s="112"/>
      <c r="F46" s="113">
        <f>F45/$B$45</f>
        <v>0.12522132</v>
      </c>
      <c r="H46" s="102"/>
    </row>
    <row r="47" spans="1:14" ht="27" customHeight="1" x14ac:dyDescent="0.4">
      <c r="A47" s="692"/>
      <c r="B47" s="693"/>
      <c r="C47" s="114" t="s">
        <v>80</v>
      </c>
      <c r="D47" s="115">
        <v>0.12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10550411.279027043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1.8961494354195696E-2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Tenofovir Disoproxil Fumarate 300 mg, Lamivudine USP 300 mg &amp; Efavirenz USP 600 mg tablets.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Tenofovir Disoproxil Fumarate</v>
      </c>
      <c r="H56" s="131"/>
    </row>
    <row r="57" spans="1:12" ht="18.75" x14ac:dyDescent="0.3">
      <c r="A57" s="128" t="s">
        <v>88</v>
      </c>
      <c r="B57" s="198">
        <f>Uniformity!C46</f>
        <v>1896.7379999999998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694" t="s">
        <v>94</v>
      </c>
      <c r="D60" s="697">
        <v>1884.5</v>
      </c>
      <c r="E60" s="134">
        <v>1</v>
      </c>
      <c r="F60" s="135">
        <v>10261459</v>
      </c>
      <c r="G60" s="199">
        <f>IF(ISBLANK(F60),"-",(F60/$D$50*$D$47*$B$68)*($B$57/$D$60))</f>
        <v>293.67851978394833</v>
      </c>
      <c r="H60" s="217">
        <f t="shared" ref="H60:H71" si="0">IF(ISBLANK(F60),"-",(G60/$B$56)*100)</f>
        <v>97.892839927982777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695"/>
      <c r="D61" s="698"/>
      <c r="E61" s="136">
        <v>2</v>
      </c>
      <c r="F61" s="89">
        <v>10500650</v>
      </c>
      <c r="G61" s="200">
        <f>IF(ISBLANK(F61),"-",(F61/$D$50*$D$47*$B$68)*($B$57/$D$60))</f>
        <v>300.52406278379289</v>
      </c>
      <c r="H61" s="218">
        <f t="shared" si="0"/>
        <v>100.17468759459763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95"/>
      <c r="D62" s="698"/>
      <c r="E62" s="136">
        <v>3</v>
      </c>
      <c r="F62" s="137">
        <v>10384384</v>
      </c>
      <c r="G62" s="200">
        <f>IF(ISBLANK(F62),"-",(F62/$D$50*$D$47*$B$68)*($B$57/$D$60))</f>
        <v>297.19658013427875</v>
      </c>
      <c r="H62" s="218">
        <f t="shared" si="0"/>
        <v>99.065526711426244</v>
      </c>
      <c r="L62" s="64"/>
    </row>
    <row r="63" spans="1:12" ht="27" customHeight="1" x14ac:dyDescent="0.4">
      <c r="A63" s="76" t="s">
        <v>97</v>
      </c>
      <c r="B63" s="77">
        <v>1</v>
      </c>
      <c r="C63" s="696"/>
      <c r="D63" s="699"/>
      <c r="E63" s="138">
        <v>4</v>
      </c>
      <c r="F63" s="139"/>
      <c r="G63" s="200" t="str">
        <f>IF(ISBLANK(F63),"-",(F63/$D$50*$D$47*$B$68)*($B$57/$D$60))</f>
        <v>-</v>
      </c>
      <c r="H63" s="21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94" t="s">
        <v>99</v>
      </c>
      <c r="D64" s="697">
        <v>1904.52</v>
      </c>
      <c r="E64" s="134">
        <v>1</v>
      </c>
      <c r="F64" s="135">
        <v>10730741</v>
      </c>
      <c r="G64" s="199">
        <f>IF(ISBLANK(F64),"-",(F64/$D$50*$D$47*$B$68)*($B$57/$D$64))</f>
        <v>303.88088681927115</v>
      </c>
      <c r="H64" s="217">
        <f t="shared" si="0"/>
        <v>101.29362893975704</v>
      </c>
    </row>
    <row r="65" spans="1:8" ht="26.25" customHeight="1" x14ac:dyDescent="0.4">
      <c r="A65" s="76" t="s">
        <v>100</v>
      </c>
      <c r="B65" s="77">
        <v>1</v>
      </c>
      <c r="C65" s="695"/>
      <c r="D65" s="698"/>
      <c r="E65" s="136">
        <v>2</v>
      </c>
      <c r="F65" s="89">
        <v>10867036</v>
      </c>
      <c r="G65" s="200">
        <f>IF(ISBLANK(F65),"-",(F65/$D$50*$D$47*$B$68)*($B$57/$D$64))</f>
        <v>307.74058723222794</v>
      </c>
      <c r="H65" s="218">
        <f t="shared" si="0"/>
        <v>102.58019574407598</v>
      </c>
    </row>
    <row r="66" spans="1:8" ht="26.25" customHeight="1" x14ac:dyDescent="0.4">
      <c r="A66" s="76" t="s">
        <v>101</v>
      </c>
      <c r="B66" s="77">
        <v>1</v>
      </c>
      <c r="C66" s="695"/>
      <c r="D66" s="698"/>
      <c r="E66" s="136">
        <v>3</v>
      </c>
      <c r="F66" s="89">
        <v>10623333</v>
      </c>
      <c r="G66" s="200">
        <f>IF(ISBLANK(F66),"-",(F66/$D$50*$D$47*$B$68)*($B$57/$D$64))</f>
        <v>300.83922937068638</v>
      </c>
      <c r="H66" s="218">
        <f t="shared" si="0"/>
        <v>100.27974312356214</v>
      </c>
    </row>
    <row r="67" spans="1:8" ht="27" customHeight="1" x14ac:dyDescent="0.4">
      <c r="A67" s="76" t="s">
        <v>102</v>
      </c>
      <c r="B67" s="77">
        <v>1</v>
      </c>
      <c r="C67" s="696"/>
      <c r="D67" s="699"/>
      <c r="E67" s="138">
        <v>4</v>
      </c>
      <c r="F67" s="139"/>
      <c r="G67" s="216" t="str">
        <f>IF(ISBLANK(F67),"-",(F67/$D$50*$D$47*$B$68)*($B$57/$D$64))</f>
        <v>-</v>
      </c>
      <c r="H67" s="219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694" t="s">
        <v>104</v>
      </c>
      <c r="D68" s="697">
        <v>1896.7</v>
      </c>
      <c r="E68" s="134">
        <v>1</v>
      </c>
      <c r="F68" s="135">
        <v>10338654</v>
      </c>
      <c r="G68" s="199">
        <f>IF(ISBLANK(F68),"-",(F68/$D$50*$D$47*$B$68)*($B$57/$D$68))</f>
        <v>293.9845905359951</v>
      </c>
      <c r="H68" s="218">
        <f t="shared" si="0"/>
        <v>97.994863511998361</v>
      </c>
    </row>
    <row r="69" spans="1:8" ht="27" customHeight="1" x14ac:dyDescent="0.4">
      <c r="A69" s="124" t="s">
        <v>105</v>
      </c>
      <c r="B69" s="141">
        <f>(D47*B68)/B56*B57</f>
        <v>1896.7379999999998</v>
      </c>
      <c r="C69" s="695"/>
      <c r="D69" s="698"/>
      <c r="E69" s="136">
        <v>2</v>
      </c>
      <c r="F69" s="89">
        <v>10549667</v>
      </c>
      <c r="G69" s="200">
        <f>IF(ISBLANK(F69),"-",(F69/$D$50*$D$47*$B$68)*($B$57/$D$68))</f>
        <v>299.98484650768853</v>
      </c>
      <c r="H69" s="218">
        <f t="shared" si="0"/>
        <v>99.994948835896182</v>
      </c>
    </row>
    <row r="70" spans="1:8" ht="26.25" customHeight="1" x14ac:dyDescent="0.4">
      <c r="A70" s="707" t="s">
        <v>78</v>
      </c>
      <c r="B70" s="708"/>
      <c r="C70" s="695"/>
      <c r="D70" s="698"/>
      <c r="E70" s="136">
        <v>3</v>
      </c>
      <c r="F70" s="89">
        <v>10418408</v>
      </c>
      <c r="G70" s="200">
        <f>IF(ISBLANK(F70),"-",(F70/$D$50*$D$47*$B$68)*($B$57/$D$68))</f>
        <v>296.25243381942522</v>
      </c>
      <c r="H70" s="218">
        <f t="shared" si="0"/>
        <v>98.750811273141736</v>
      </c>
    </row>
    <row r="71" spans="1:8" ht="27" customHeight="1" x14ac:dyDescent="0.4">
      <c r="A71" s="709"/>
      <c r="B71" s="710"/>
      <c r="C71" s="706"/>
      <c r="D71" s="699"/>
      <c r="E71" s="138">
        <v>4</v>
      </c>
      <c r="F71" s="139"/>
      <c r="G71" s="216" t="str">
        <f>IF(ISBLANK(F71),"-",(F71/$D$50*$D$47*$B$68)*($B$57/$D$68))</f>
        <v>-</v>
      </c>
      <c r="H71" s="219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5">
        <f>AVERAGE(G60:G71)</f>
        <v>299.34241522081271</v>
      </c>
      <c r="H72" s="220">
        <f>AVERAGE(H60:H71)</f>
        <v>99.780805073604213</v>
      </c>
    </row>
    <row r="73" spans="1:8" ht="26.25" customHeight="1" x14ac:dyDescent="0.4">
      <c r="C73" s="142"/>
      <c r="D73" s="142"/>
      <c r="E73" s="142"/>
      <c r="F73" s="145" t="s">
        <v>84</v>
      </c>
      <c r="G73" s="204">
        <f>STDEV(G60:G71)/G72</f>
        <v>1.5404873672802893E-2</v>
      </c>
      <c r="H73" s="204">
        <f>STDEV(H60:H71)/H72</f>
        <v>1.5404873672802903E-2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702" t="str">
        <f>B26</f>
        <v>TENOFOVIR DISOPROXIL FUMARATE</v>
      </c>
      <c r="D76" s="702"/>
      <c r="E76" s="150" t="s">
        <v>108</v>
      </c>
      <c r="F76" s="150"/>
      <c r="G76" s="236">
        <f>H72</f>
        <v>99.780805073604213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88" t="str">
        <f>B26</f>
        <v>TENOFOVIR DISOPROXIL FUMARATE</v>
      </c>
      <c r="C79" s="688"/>
    </row>
    <row r="80" spans="1:8" ht="26.25" customHeight="1" x14ac:dyDescent="0.4">
      <c r="A80" s="61" t="s">
        <v>48</v>
      </c>
      <c r="B80" s="688" t="str">
        <f>B27</f>
        <v>T11-10</v>
      </c>
      <c r="C80" s="688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49</v>
      </c>
      <c r="B82" s="63">
        <v>0</v>
      </c>
      <c r="C82" s="679" t="s">
        <v>50</v>
      </c>
      <c r="D82" s="680"/>
      <c r="E82" s="680"/>
      <c r="F82" s="680"/>
      <c r="G82" s="681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82" t="s">
        <v>111</v>
      </c>
      <c r="D84" s="683"/>
      <c r="E84" s="683"/>
      <c r="F84" s="683"/>
      <c r="G84" s="683"/>
      <c r="H84" s="684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82" t="s">
        <v>112</v>
      </c>
      <c r="D85" s="683"/>
      <c r="E85" s="683"/>
      <c r="F85" s="683"/>
      <c r="G85" s="683"/>
      <c r="H85" s="684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685" t="s">
        <v>60</v>
      </c>
      <c r="G89" s="687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459">
        <v>3625163</v>
      </c>
      <c r="E91" s="85">
        <f>IF(ISBLANK(D91),"-",$D$101/$D$98*D91)</f>
        <v>3605857.2403352447</v>
      </c>
      <c r="F91" s="459">
        <v>3471667</v>
      </c>
      <c r="G91" s="86">
        <f>IF(ISBLANK(F91),"-",$D$101/$F$98*F91)</f>
        <v>3590642.21155131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464">
        <v>3632049</v>
      </c>
      <c r="E92" s="90">
        <f>IF(ISBLANK(D92),"-",$D$101/$D$98*D92)</f>
        <v>3612706.569029416</v>
      </c>
      <c r="F92" s="464">
        <v>3471397</v>
      </c>
      <c r="G92" s="91">
        <f>IF(ISBLANK(F92),"-",$D$101/$F$98*F92)</f>
        <v>3590362.9585592691</v>
      </c>
      <c r="I92" s="689">
        <f>ABS((F96/D96*D95)-F95)/D95</f>
        <v>5.3356914765098646E-3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464">
        <v>3631514</v>
      </c>
      <c r="E93" s="90">
        <f>IF(ISBLANK(D93),"-",$D$101/$D$98*D93)</f>
        <v>3612174.4181651431</v>
      </c>
      <c r="F93" s="464">
        <v>3470701</v>
      </c>
      <c r="G93" s="91">
        <f>IF(ISBLANK(F93),"-",$D$101/$F$98*F93)</f>
        <v>3589643.1064020088</v>
      </c>
      <c r="I93" s="689"/>
    </row>
    <row r="94" spans="1:12" ht="27" customHeight="1" x14ac:dyDescent="0.4">
      <c r="A94" s="76" t="s">
        <v>69</v>
      </c>
      <c r="B94" s="77">
        <v>1</v>
      </c>
      <c r="C94" s="159">
        <v>4</v>
      </c>
      <c r="D94" s="469"/>
      <c r="E94" s="95" t="str">
        <f>IF(ISBLANK(D94),"-",$D$101/$D$98*D94)</f>
        <v>-</v>
      </c>
      <c r="F94" s="535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0" t="s">
        <v>71</v>
      </c>
      <c r="D95" s="161">
        <f>AVERAGE(D91:D94)</f>
        <v>3629575.3333333335</v>
      </c>
      <c r="E95" s="100">
        <f>AVERAGE(E91:E94)</f>
        <v>3610246.0758432676</v>
      </c>
      <c r="F95" s="162">
        <f>AVERAGE(F91:F94)</f>
        <v>3471255</v>
      </c>
      <c r="G95" s="163">
        <f>AVERAGE(G91:G94)</f>
        <v>3590216.0921708629</v>
      </c>
    </row>
    <row r="96" spans="1:12" ht="26.25" customHeight="1" x14ac:dyDescent="0.4">
      <c r="A96" s="76" t="s">
        <v>72</v>
      </c>
      <c r="B96" s="62">
        <v>1</v>
      </c>
      <c r="C96" s="164" t="s">
        <v>113</v>
      </c>
      <c r="D96" s="165">
        <v>15.15</v>
      </c>
      <c r="E96" s="92"/>
      <c r="F96" s="104">
        <v>14.57</v>
      </c>
    </row>
    <row r="97" spans="1:10" ht="26.25" customHeight="1" x14ac:dyDescent="0.4">
      <c r="A97" s="76" t="s">
        <v>74</v>
      </c>
      <c r="B97" s="62">
        <v>1</v>
      </c>
      <c r="C97" s="166" t="s">
        <v>114</v>
      </c>
      <c r="D97" s="167">
        <f>D96*$B$87</f>
        <v>15.15</v>
      </c>
      <c r="E97" s="107"/>
      <c r="F97" s="106">
        <f>F96*$B$87</f>
        <v>14.57</v>
      </c>
    </row>
    <row r="98" spans="1:10" ht="19.5" customHeight="1" x14ac:dyDescent="0.3">
      <c r="A98" s="76" t="s">
        <v>76</v>
      </c>
      <c r="B98" s="168">
        <f>(B97/B96)*(B95/B94)*(B93/B92)*(B91/B90)*B89</f>
        <v>50</v>
      </c>
      <c r="C98" s="166" t="s">
        <v>115</v>
      </c>
      <c r="D98" s="169">
        <f>D97*$B$83/100</f>
        <v>15.080310000000003</v>
      </c>
      <c r="E98" s="110"/>
      <c r="F98" s="109">
        <f>F97*$B$83/100</f>
        <v>14.502978000000001</v>
      </c>
    </row>
    <row r="99" spans="1:10" ht="19.5" customHeight="1" x14ac:dyDescent="0.3">
      <c r="A99" s="690" t="s">
        <v>78</v>
      </c>
      <c r="B99" s="704"/>
      <c r="C99" s="166" t="s">
        <v>116</v>
      </c>
      <c r="D99" s="170">
        <f>D98/$B$98</f>
        <v>0.30160620000000005</v>
      </c>
      <c r="E99" s="110"/>
      <c r="F99" s="113">
        <f>F98/$B$98</f>
        <v>0.29005955999999999</v>
      </c>
      <c r="G99" s="171"/>
      <c r="H99" s="102"/>
    </row>
    <row r="100" spans="1:10" ht="19.5" customHeight="1" x14ac:dyDescent="0.3">
      <c r="A100" s="692"/>
      <c r="B100" s="705"/>
      <c r="C100" s="166" t="s">
        <v>80</v>
      </c>
      <c r="D100" s="172">
        <f>$B$56/$B$116</f>
        <v>0.3</v>
      </c>
      <c r="F100" s="118"/>
      <c r="G100" s="173"/>
      <c r="H100" s="102"/>
    </row>
    <row r="101" spans="1:10" ht="18.75" x14ac:dyDescent="0.3">
      <c r="C101" s="166" t="s">
        <v>81</v>
      </c>
      <c r="D101" s="167">
        <f>D100*$B$98</f>
        <v>15</v>
      </c>
      <c r="F101" s="118"/>
      <c r="G101" s="171"/>
      <c r="H101" s="102"/>
    </row>
    <row r="102" spans="1:10" ht="19.5" customHeight="1" x14ac:dyDescent="0.3">
      <c r="C102" s="174" t="s">
        <v>82</v>
      </c>
      <c r="D102" s="175">
        <f>D101/B34</f>
        <v>15</v>
      </c>
      <c r="F102" s="122"/>
      <c r="G102" s="171"/>
      <c r="H102" s="102"/>
      <c r="J102" s="176"/>
    </row>
    <row r="103" spans="1:10" ht="18.75" x14ac:dyDescent="0.3">
      <c r="C103" s="177" t="s">
        <v>117</v>
      </c>
      <c r="D103" s="178">
        <f>AVERAGE(E91:E94,G91:G94)</f>
        <v>3600231.0840070657</v>
      </c>
      <c r="F103" s="122"/>
      <c r="G103" s="179"/>
      <c r="H103" s="102"/>
      <c r="J103" s="180"/>
    </row>
    <row r="104" spans="1:10" ht="18.75" x14ac:dyDescent="0.3">
      <c r="C104" s="145" t="s">
        <v>84</v>
      </c>
      <c r="D104" s="181">
        <f>STDEV(E91:E94,G91:G94)/D103</f>
        <v>3.1212265859601107E-3</v>
      </c>
      <c r="F104" s="122"/>
      <c r="G104" s="171"/>
      <c r="H104" s="102"/>
      <c r="J104" s="180"/>
    </row>
    <row r="105" spans="1:10" ht="19.5" customHeight="1" x14ac:dyDescent="0.3">
      <c r="C105" s="147" t="s">
        <v>20</v>
      </c>
      <c r="D105" s="182">
        <f>COUNT(E91:E94,G91:G94)</f>
        <v>6</v>
      </c>
      <c r="F105" s="122"/>
      <c r="G105" s="171"/>
      <c r="H105" s="102"/>
      <c r="J105" s="180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1" t="s">
        <v>119</v>
      </c>
      <c r="D107" s="221" t="s">
        <v>63</v>
      </c>
      <c r="E107" s="221" t="s">
        <v>120</v>
      </c>
      <c r="F107" s="183" t="s">
        <v>121</v>
      </c>
    </row>
    <row r="108" spans="1:10" ht="26.25" customHeight="1" x14ac:dyDescent="0.4">
      <c r="A108" s="76" t="s">
        <v>122</v>
      </c>
      <c r="B108" s="77">
        <v>1</v>
      </c>
      <c r="C108" s="226">
        <v>1</v>
      </c>
      <c r="D108" s="227">
        <v>3411005</v>
      </c>
      <c r="E108" s="201">
        <f t="shared" ref="E108:E113" si="1">IF(ISBLANK(D108),"-",D108/$D$103*$D$100*$B$116)</f>
        <v>284.23217180300077</v>
      </c>
      <c r="F108" s="228">
        <f t="shared" ref="F108:F113" si="2">IF(ISBLANK(D108), "-", (E108/$B$56)*100)</f>
        <v>94.744057267666932</v>
      </c>
    </row>
    <row r="109" spans="1:10" ht="26.25" customHeight="1" x14ac:dyDescent="0.4">
      <c r="A109" s="76" t="s">
        <v>95</v>
      </c>
      <c r="B109" s="77">
        <v>1</v>
      </c>
      <c r="C109" s="222">
        <v>2</v>
      </c>
      <c r="D109" s="224">
        <v>3414998</v>
      </c>
      <c r="E109" s="202">
        <f t="shared" si="1"/>
        <v>284.56490044514857</v>
      </c>
      <c r="F109" s="229">
        <f t="shared" si="2"/>
        <v>94.854966815049522</v>
      </c>
    </row>
    <row r="110" spans="1:10" ht="26.25" customHeight="1" x14ac:dyDescent="0.4">
      <c r="A110" s="76" t="s">
        <v>96</v>
      </c>
      <c r="B110" s="77">
        <v>1</v>
      </c>
      <c r="C110" s="222">
        <v>3</v>
      </c>
      <c r="D110" s="224">
        <v>3363970</v>
      </c>
      <c r="E110" s="202">
        <f t="shared" si="1"/>
        <v>280.31284005158022</v>
      </c>
      <c r="F110" s="229">
        <f t="shared" si="2"/>
        <v>93.437613350526732</v>
      </c>
    </row>
    <row r="111" spans="1:10" ht="26.25" customHeight="1" x14ac:dyDescent="0.4">
      <c r="A111" s="76" t="s">
        <v>97</v>
      </c>
      <c r="B111" s="77">
        <v>1</v>
      </c>
      <c r="C111" s="222">
        <v>4</v>
      </c>
      <c r="D111" s="224">
        <v>3428642</v>
      </c>
      <c r="E111" s="202">
        <f t="shared" si="1"/>
        <v>285.70182746580087</v>
      </c>
      <c r="F111" s="229">
        <f t="shared" si="2"/>
        <v>95.233942488600292</v>
      </c>
    </row>
    <row r="112" spans="1:10" ht="26.25" customHeight="1" x14ac:dyDescent="0.4">
      <c r="A112" s="76" t="s">
        <v>98</v>
      </c>
      <c r="B112" s="77">
        <v>1</v>
      </c>
      <c r="C112" s="222">
        <v>5</v>
      </c>
      <c r="D112" s="224">
        <v>3398502</v>
      </c>
      <c r="E112" s="202">
        <f t="shared" si="1"/>
        <v>283.19032201267419</v>
      </c>
      <c r="F112" s="229">
        <f t="shared" si="2"/>
        <v>94.396774004224724</v>
      </c>
    </row>
    <row r="113" spans="1:10" ht="27" customHeight="1" x14ac:dyDescent="0.4">
      <c r="A113" s="76" t="s">
        <v>100</v>
      </c>
      <c r="B113" s="77">
        <v>1</v>
      </c>
      <c r="C113" s="223">
        <v>6</v>
      </c>
      <c r="D113" s="225">
        <v>3389707</v>
      </c>
      <c r="E113" s="203">
        <f t="shared" si="1"/>
        <v>282.4574523889101</v>
      </c>
      <c r="F113" s="230">
        <f t="shared" si="2"/>
        <v>94.152484129636704</v>
      </c>
    </row>
    <row r="114" spans="1:10" ht="27" customHeight="1" x14ac:dyDescent="0.4">
      <c r="A114" s="76" t="s">
        <v>101</v>
      </c>
      <c r="B114" s="77">
        <v>1</v>
      </c>
      <c r="C114" s="184"/>
      <c r="D114" s="143"/>
      <c r="E114" s="50"/>
      <c r="F114" s="231"/>
    </row>
    <row r="115" spans="1:10" ht="26.25" customHeight="1" x14ac:dyDescent="0.4">
      <c r="A115" s="76" t="s">
        <v>102</v>
      </c>
      <c r="B115" s="77">
        <v>1</v>
      </c>
      <c r="C115" s="184"/>
      <c r="D115" s="208" t="s">
        <v>71</v>
      </c>
      <c r="E115" s="210">
        <f>AVERAGE(E108:E113)</f>
        <v>283.40991902785248</v>
      </c>
      <c r="F115" s="232">
        <f>AVERAGE(F108:F113)</f>
        <v>94.469973009284146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5"/>
      <c r="D116" s="209" t="s">
        <v>84</v>
      </c>
      <c r="E116" s="207">
        <f>STDEV(E108:E113)/E115</f>
        <v>6.6593958990279565E-3</v>
      </c>
      <c r="F116" s="186">
        <f>STDEV(F108:F113)/F115</f>
        <v>6.6593958990279947E-3</v>
      </c>
      <c r="I116" s="50"/>
    </row>
    <row r="117" spans="1:10" ht="27" customHeight="1" x14ac:dyDescent="0.4">
      <c r="A117" s="690" t="s">
        <v>78</v>
      </c>
      <c r="B117" s="691"/>
      <c r="C117" s="187"/>
      <c r="D117" s="147" t="s">
        <v>20</v>
      </c>
      <c r="E117" s="212">
        <f>COUNT(E108:E113)</f>
        <v>6</v>
      </c>
      <c r="F117" s="213">
        <f>COUNT(F108:F113)</f>
        <v>6</v>
      </c>
      <c r="I117" s="50"/>
      <c r="J117" s="180"/>
    </row>
    <row r="118" spans="1:10" ht="26.25" customHeight="1" x14ac:dyDescent="0.3">
      <c r="A118" s="692"/>
      <c r="B118" s="693"/>
      <c r="C118" s="50"/>
      <c r="D118" s="211"/>
      <c r="E118" s="670" t="s">
        <v>123</v>
      </c>
      <c r="F118" s="671"/>
      <c r="G118" s="50"/>
      <c r="H118" s="50"/>
      <c r="I118" s="50"/>
    </row>
    <row r="119" spans="1:10" ht="25.5" customHeight="1" x14ac:dyDescent="0.4">
      <c r="A119" s="196"/>
      <c r="B119" s="72"/>
      <c r="C119" s="50"/>
      <c r="D119" s="209" t="s">
        <v>124</v>
      </c>
      <c r="E119" s="214">
        <f>MIN(E108:E113)</f>
        <v>280.31284005158022</v>
      </c>
      <c r="F119" s="233">
        <f>MIN(F108:F113)</f>
        <v>93.437613350526732</v>
      </c>
      <c r="G119" s="50"/>
      <c r="H119" s="50"/>
      <c r="I119" s="50"/>
    </row>
    <row r="120" spans="1:10" ht="24" customHeight="1" x14ac:dyDescent="0.4">
      <c r="A120" s="196"/>
      <c r="B120" s="72"/>
      <c r="C120" s="50"/>
      <c r="D120" s="119" t="s">
        <v>125</v>
      </c>
      <c r="E120" s="215">
        <f>MAX(E108:E113)</f>
        <v>285.70182746580087</v>
      </c>
      <c r="F120" s="234">
        <f>MAX(F108:F113)</f>
        <v>95.233942488600292</v>
      </c>
      <c r="G120" s="50"/>
      <c r="H120" s="50"/>
      <c r="I120" s="50"/>
    </row>
    <row r="121" spans="1:10" ht="27" customHeight="1" x14ac:dyDescent="0.3">
      <c r="A121" s="196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6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6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702" t="str">
        <f>B26</f>
        <v>TENOFOVIR DISOPROXIL FUMARATE</v>
      </c>
      <c r="D124" s="702"/>
      <c r="E124" s="150" t="s">
        <v>127</v>
      </c>
      <c r="F124" s="150"/>
      <c r="G124" s="235">
        <f>F115</f>
        <v>94.469973009284146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5">
        <f>MIN(F108:F113)</f>
        <v>93.437613350526732</v>
      </c>
      <c r="E125" s="160" t="s">
        <v>130</v>
      </c>
      <c r="F125" s="235">
        <f>MAX(F108:F113)</f>
        <v>95.233942488600292</v>
      </c>
      <c r="G125" s="151"/>
      <c r="H125" s="50"/>
      <c r="I125" s="50"/>
    </row>
    <row r="126" spans="1:10" ht="19.5" customHeight="1" x14ac:dyDescent="0.3">
      <c r="A126" s="188"/>
      <c r="B126" s="188"/>
      <c r="C126" s="189"/>
      <c r="D126" s="189"/>
      <c r="E126" s="189"/>
      <c r="F126" s="189"/>
      <c r="G126" s="189"/>
      <c r="H126" s="189"/>
    </row>
    <row r="127" spans="1:10" ht="18.75" x14ac:dyDescent="0.3">
      <c r="B127" s="703" t="s">
        <v>26</v>
      </c>
      <c r="C127" s="703"/>
      <c r="E127" s="156" t="s">
        <v>27</v>
      </c>
      <c r="F127" s="190"/>
      <c r="G127" s="703" t="s">
        <v>28</v>
      </c>
      <c r="H127" s="703"/>
    </row>
    <row r="128" spans="1:10" ht="69.95" customHeight="1" x14ac:dyDescent="0.3">
      <c r="A128" s="191" t="s">
        <v>29</v>
      </c>
      <c r="B128" s="192"/>
      <c r="C128" s="192"/>
      <c r="E128" s="192"/>
      <c r="F128" s="50"/>
      <c r="G128" s="193"/>
      <c r="H128" s="193"/>
    </row>
    <row r="129" spans="1:9" ht="69.95" customHeight="1" x14ac:dyDescent="0.3">
      <c r="A129" s="191" t="s">
        <v>30</v>
      </c>
      <c r="B129" s="194"/>
      <c r="C129" s="194"/>
      <c r="E129" s="194"/>
      <c r="F129" s="50"/>
      <c r="G129" s="195"/>
      <c r="H129" s="195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C23" sqref="C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0" t="s">
        <v>45</v>
      </c>
      <c r="B1" s="700"/>
      <c r="C1" s="700"/>
      <c r="D1" s="700"/>
      <c r="E1" s="700"/>
      <c r="F1" s="700"/>
      <c r="G1" s="700"/>
      <c r="H1" s="700"/>
      <c r="I1" s="700"/>
    </row>
    <row r="2" spans="1:9" ht="18.75" customHeight="1" x14ac:dyDescent="0.25">
      <c r="A2" s="700"/>
      <c r="B2" s="700"/>
      <c r="C2" s="700"/>
      <c r="D2" s="700"/>
      <c r="E2" s="700"/>
      <c r="F2" s="700"/>
      <c r="G2" s="700"/>
      <c r="H2" s="700"/>
      <c r="I2" s="700"/>
    </row>
    <row r="3" spans="1:9" ht="18.75" customHeight="1" x14ac:dyDescent="0.25">
      <c r="A3" s="700"/>
      <c r="B3" s="700"/>
      <c r="C3" s="700"/>
      <c r="D3" s="700"/>
      <c r="E3" s="700"/>
      <c r="F3" s="700"/>
      <c r="G3" s="700"/>
      <c r="H3" s="700"/>
      <c r="I3" s="700"/>
    </row>
    <row r="4" spans="1:9" ht="18.75" customHeight="1" x14ac:dyDescent="0.25">
      <c r="A4" s="700"/>
      <c r="B4" s="700"/>
      <c r="C4" s="700"/>
      <c r="D4" s="700"/>
      <c r="E4" s="700"/>
      <c r="F4" s="700"/>
      <c r="G4" s="700"/>
      <c r="H4" s="700"/>
      <c r="I4" s="700"/>
    </row>
    <row r="5" spans="1:9" ht="18.75" customHeight="1" x14ac:dyDescent="0.25">
      <c r="A5" s="700"/>
      <c r="B5" s="700"/>
      <c r="C5" s="700"/>
      <c r="D5" s="700"/>
      <c r="E5" s="700"/>
      <c r="F5" s="700"/>
      <c r="G5" s="700"/>
      <c r="H5" s="700"/>
      <c r="I5" s="700"/>
    </row>
    <row r="6" spans="1:9" ht="18.75" customHeight="1" x14ac:dyDescent="0.25">
      <c r="A6" s="700"/>
      <c r="B6" s="700"/>
      <c r="C6" s="700"/>
      <c r="D6" s="700"/>
      <c r="E6" s="700"/>
      <c r="F6" s="700"/>
      <c r="G6" s="700"/>
      <c r="H6" s="700"/>
      <c r="I6" s="700"/>
    </row>
    <row r="7" spans="1:9" ht="18.75" customHeight="1" x14ac:dyDescent="0.25">
      <c r="A7" s="700"/>
      <c r="B7" s="700"/>
      <c r="C7" s="700"/>
      <c r="D7" s="700"/>
      <c r="E7" s="700"/>
      <c r="F7" s="700"/>
      <c r="G7" s="700"/>
      <c r="H7" s="700"/>
      <c r="I7" s="700"/>
    </row>
    <row r="8" spans="1:9" x14ac:dyDescent="0.25">
      <c r="A8" s="701" t="s">
        <v>46</v>
      </c>
      <c r="B8" s="701"/>
      <c r="C8" s="701"/>
      <c r="D8" s="701"/>
      <c r="E8" s="701"/>
      <c r="F8" s="701"/>
      <c r="G8" s="701"/>
      <c r="H8" s="701"/>
      <c r="I8" s="701"/>
    </row>
    <row r="9" spans="1:9" x14ac:dyDescent="0.25">
      <c r="A9" s="701"/>
      <c r="B9" s="701"/>
      <c r="C9" s="701"/>
      <c r="D9" s="701"/>
      <c r="E9" s="701"/>
      <c r="F9" s="701"/>
      <c r="G9" s="701"/>
      <c r="H9" s="701"/>
      <c r="I9" s="701"/>
    </row>
    <row r="10" spans="1:9" x14ac:dyDescent="0.25">
      <c r="A10" s="701"/>
      <c r="B10" s="701"/>
      <c r="C10" s="701"/>
      <c r="D10" s="701"/>
      <c r="E10" s="701"/>
      <c r="F10" s="701"/>
      <c r="G10" s="701"/>
      <c r="H10" s="701"/>
      <c r="I10" s="701"/>
    </row>
    <row r="11" spans="1:9" x14ac:dyDescent="0.25">
      <c r="A11" s="701"/>
      <c r="B11" s="701"/>
      <c r="C11" s="701"/>
      <c r="D11" s="701"/>
      <c r="E11" s="701"/>
      <c r="F11" s="701"/>
      <c r="G11" s="701"/>
      <c r="H11" s="701"/>
      <c r="I11" s="701"/>
    </row>
    <row r="12" spans="1:9" x14ac:dyDescent="0.25">
      <c r="A12" s="701"/>
      <c r="B12" s="701"/>
      <c r="C12" s="701"/>
      <c r="D12" s="701"/>
      <c r="E12" s="701"/>
      <c r="F12" s="701"/>
      <c r="G12" s="701"/>
      <c r="H12" s="701"/>
      <c r="I12" s="701"/>
    </row>
    <row r="13" spans="1:9" x14ac:dyDescent="0.25">
      <c r="A13" s="701"/>
      <c r="B13" s="701"/>
      <c r="C13" s="701"/>
      <c r="D13" s="701"/>
      <c r="E13" s="701"/>
      <c r="F13" s="701"/>
      <c r="G13" s="701"/>
      <c r="H13" s="701"/>
      <c r="I13" s="701"/>
    </row>
    <row r="14" spans="1:9" x14ac:dyDescent="0.25">
      <c r="A14" s="701"/>
      <c r="B14" s="701"/>
      <c r="C14" s="701"/>
      <c r="D14" s="701"/>
      <c r="E14" s="701"/>
      <c r="F14" s="701"/>
      <c r="G14" s="701"/>
      <c r="H14" s="701"/>
      <c r="I14" s="701"/>
    </row>
    <row r="15" spans="1:9" ht="19.5" customHeight="1" x14ac:dyDescent="0.3">
      <c r="A15" s="237"/>
    </row>
    <row r="16" spans="1:9" ht="19.5" customHeight="1" x14ac:dyDescent="0.3">
      <c r="A16" s="673" t="s">
        <v>31</v>
      </c>
      <c r="B16" s="674"/>
      <c r="C16" s="674"/>
      <c r="D16" s="674"/>
      <c r="E16" s="674"/>
      <c r="F16" s="674"/>
      <c r="G16" s="674"/>
      <c r="H16" s="675"/>
    </row>
    <row r="17" spans="1:14" ht="20.25" customHeight="1" x14ac:dyDescent="0.25">
      <c r="A17" s="676" t="s">
        <v>47</v>
      </c>
      <c r="B17" s="676"/>
      <c r="C17" s="676"/>
      <c r="D17" s="676"/>
      <c r="E17" s="676"/>
      <c r="F17" s="676"/>
      <c r="G17" s="676"/>
      <c r="H17" s="676"/>
    </row>
    <row r="18" spans="1:14" ht="26.25" customHeight="1" x14ac:dyDescent="0.4">
      <c r="A18" s="239" t="s">
        <v>33</v>
      </c>
      <c r="B18" s="672" t="s">
        <v>5</v>
      </c>
      <c r="C18" s="672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677" t="s">
        <v>134</v>
      </c>
      <c r="C20" s="677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677" t="s">
        <v>11</v>
      </c>
      <c r="C21" s="677"/>
      <c r="D21" s="677"/>
      <c r="E21" s="677"/>
      <c r="F21" s="677"/>
      <c r="G21" s="677"/>
      <c r="H21" s="677"/>
      <c r="I21" s="243"/>
    </row>
    <row r="22" spans="1:14" ht="26.25" customHeight="1" x14ac:dyDescent="0.4">
      <c r="A22" s="239" t="s">
        <v>37</v>
      </c>
      <c r="B22" s="244">
        <v>42985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43006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672" t="s">
        <v>135</v>
      </c>
      <c r="C26" s="672"/>
    </row>
    <row r="27" spans="1:14" ht="26.25" customHeight="1" x14ac:dyDescent="0.4">
      <c r="A27" s="248" t="s">
        <v>48</v>
      </c>
      <c r="B27" s="678" t="s">
        <v>136</v>
      </c>
      <c r="C27" s="678"/>
    </row>
    <row r="28" spans="1:14" ht="27" customHeight="1" x14ac:dyDescent="0.4">
      <c r="A28" s="248" t="s">
        <v>6</v>
      </c>
      <c r="B28" s="249">
        <v>99.39</v>
      </c>
    </row>
    <row r="29" spans="1:14" s="3" customFormat="1" ht="27" customHeight="1" x14ac:dyDescent="0.4">
      <c r="A29" s="248" t="s">
        <v>49</v>
      </c>
      <c r="B29" s="250">
        <v>0</v>
      </c>
      <c r="C29" s="679" t="s">
        <v>50</v>
      </c>
      <c r="D29" s="680"/>
      <c r="E29" s="680"/>
      <c r="F29" s="680"/>
      <c r="G29" s="681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99.39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682" t="s">
        <v>53</v>
      </c>
      <c r="D31" s="683"/>
      <c r="E31" s="683"/>
      <c r="F31" s="683"/>
      <c r="G31" s="683"/>
      <c r="H31" s="684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682" t="s">
        <v>55</v>
      </c>
      <c r="D32" s="683"/>
      <c r="E32" s="683"/>
      <c r="F32" s="683"/>
      <c r="G32" s="683"/>
      <c r="H32" s="684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100</v>
      </c>
      <c r="C36" s="238"/>
      <c r="D36" s="685" t="s">
        <v>59</v>
      </c>
      <c r="E36" s="686"/>
      <c r="F36" s="685" t="s">
        <v>60</v>
      </c>
      <c r="G36" s="687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1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</v>
      </c>
      <c r="C38" s="270">
        <v>1</v>
      </c>
      <c r="D38" s="271">
        <v>20585360</v>
      </c>
      <c r="E38" s="272">
        <f>IF(ISBLANK(D38),"-",$D$48/$D$45*D38)</f>
        <v>20338822.957520414</v>
      </c>
      <c r="F38" s="271">
        <v>19785322</v>
      </c>
      <c r="G38" s="273">
        <f>IF(ISBLANK(F38),"-",$D$48/$F$45*F38)</f>
        <v>20790342.761865661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20801744</v>
      </c>
      <c r="E39" s="277">
        <f>IF(ISBLANK(D39),"-",$D$48/$D$45*D39)</f>
        <v>20552615.471561465</v>
      </c>
      <c r="F39" s="276">
        <v>19335148</v>
      </c>
      <c r="G39" s="278">
        <f>IF(ISBLANK(F39),"-",$D$48/$F$45*F39)</f>
        <v>20317301.597184081</v>
      </c>
      <c r="I39" s="689">
        <f>ABS((F43/D43*D42)-F42)/D42</f>
        <v>6.9424115645235112E-3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20793331</v>
      </c>
      <c r="E40" s="277">
        <f>IF(ISBLANK(D40),"-",$D$48/$D$45*D40)</f>
        <v>20544303.228416745</v>
      </c>
      <c r="F40" s="276">
        <v>19777104</v>
      </c>
      <c r="G40" s="278">
        <f>IF(ISBLANK(F40),"-",$D$48/$F$45*F40)</f>
        <v>20781707.318034269</v>
      </c>
      <c r="I40" s="689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20726811.666666668</v>
      </c>
      <c r="E42" s="287">
        <f>AVERAGE(E38:E41)</f>
        <v>20478580.552499544</v>
      </c>
      <c r="F42" s="286">
        <f>AVERAGE(F38:F41)</f>
        <v>19632524.666666668</v>
      </c>
      <c r="G42" s="288">
        <f>AVERAGE(G38:G41)</f>
        <v>20629783.892361335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12.22</v>
      </c>
      <c r="E43" s="279"/>
      <c r="F43" s="291">
        <v>11.49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12.22</v>
      </c>
      <c r="E44" s="294"/>
      <c r="F44" s="293">
        <f>F43*$B$34</f>
        <v>11.49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100</v>
      </c>
      <c r="C45" s="292" t="s">
        <v>77</v>
      </c>
      <c r="D45" s="296">
        <f>D44*$B$30/100</f>
        <v>12.145458000000001</v>
      </c>
      <c r="E45" s="297"/>
      <c r="F45" s="296">
        <f>F44*$B$30/100</f>
        <v>11.419910999999999</v>
      </c>
      <c r="H45" s="289"/>
    </row>
    <row r="46" spans="1:14" ht="19.5" customHeight="1" x14ac:dyDescent="0.3">
      <c r="A46" s="690" t="s">
        <v>78</v>
      </c>
      <c r="B46" s="691"/>
      <c r="C46" s="292" t="s">
        <v>79</v>
      </c>
      <c r="D46" s="298">
        <f>D45/$B$45</f>
        <v>0.12145458000000002</v>
      </c>
      <c r="E46" s="299"/>
      <c r="F46" s="300">
        <f>F45/$B$45</f>
        <v>0.11419910999999999</v>
      </c>
      <c r="H46" s="289"/>
    </row>
    <row r="47" spans="1:14" ht="27" customHeight="1" x14ac:dyDescent="0.4">
      <c r="A47" s="692"/>
      <c r="B47" s="693"/>
      <c r="C47" s="301" t="s">
        <v>80</v>
      </c>
      <c r="D47" s="302">
        <v>0.12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12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12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20554182.222430438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9.9737950603530721E-3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film coated tablet contains Tenofovir Disoproxil Fumarate 300 mg, Lamivudine USP 300 mg &amp; Efavirenz USP 600 mg tablets.</v>
      </c>
    </row>
    <row r="56" spans="1:12" ht="26.25" customHeight="1" x14ac:dyDescent="0.4">
      <c r="A56" s="316" t="s">
        <v>87</v>
      </c>
      <c r="B56" s="317">
        <v>300</v>
      </c>
      <c r="C56" s="238" t="str">
        <f>B20</f>
        <v xml:space="preserve"> Lamivudine</v>
      </c>
      <c r="H56" s="318"/>
    </row>
    <row r="57" spans="1:12" ht="18.75" x14ac:dyDescent="0.3">
      <c r="A57" s="315" t="s">
        <v>88</v>
      </c>
      <c r="B57" s="386">
        <f>Uniformity!C46</f>
        <v>1896.7379999999998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200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4</v>
      </c>
      <c r="C60" s="694" t="s">
        <v>94</v>
      </c>
      <c r="D60" s="697">
        <v>1884.5</v>
      </c>
      <c r="E60" s="321">
        <v>1</v>
      </c>
      <c r="F60" s="322">
        <v>19198874</v>
      </c>
      <c r="G60" s="387">
        <f>IF(ISBLANK(F60),"-",(F60/$D$50*$D$47*$B$68)*($B$57/$D$60))</f>
        <v>282.03825176813012</v>
      </c>
      <c r="H60" s="405">
        <f t="shared" ref="H60:H71" si="0">IF(ISBLANK(F60),"-",(G60/$B$56)*100)</f>
        <v>94.012750589376708</v>
      </c>
      <c r="L60" s="251"/>
    </row>
    <row r="61" spans="1:12" s="3" customFormat="1" ht="26.25" customHeight="1" x14ac:dyDescent="0.4">
      <c r="A61" s="263" t="s">
        <v>95</v>
      </c>
      <c r="B61" s="264">
        <v>50</v>
      </c>
      <c r="C61" s="695"/>
      <c r="D61" s="698"/>
      <c r="E61" s="323">
        <v>2</v>
      </c>
      <c r="F61" s="276">
        <v>19757158</v>
      </c>
      <c r="G61" s="388">
        <f>IF(ISBLANK(F61),"-",(F61/$D$50*$D$47*$B$68)*($B$57/$D$60))</f>
        <v>290.23964125326967</v>
      </c>
      <c r="H61" s="406">
        <f t="shared" si="0"/>
        <v>96.746547084423213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695"/>
      <c r="D62" s="698"/>
      <c r="E62" s="323">
        <v>3</v>
      </c>
      <c r="F62" s="324">
        <v>19314403</v>
      </c>
      <c r="G62" s="388">
        <f>IF(ISBLANK(F62),"-",(F62/$D$50*$D$47*$B$68)*($B$57/$D$60))</f>
        <v>283.73541365317197</v>
      </c>
      <c r="H62" s="406">
        <f t="shared" si="0"/>
        <v>94.578471217723987</v>
      </c>
      <c r="L62" s="251"/>
    </row>
    <row r="63" spans="1:12" ht="27" customHeight="1" x14ac:dyDescent="0.4">
      <c r="A63" s="263" t="s">
        <v>97</v>
      </c>
      <c r="B63" s="264">
        <v>1</v>
      </c>
      <c r="C63" s="696"/>
      <c r="D63" s="699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694" t="s">
        <v>99</v>
      </c>
      <c r="D64" s="697">
        <v>1904.52</v>
      </c>
      <c r="E64" s="321">
        <v>1</v>
      </c>
      <c r="F64" s="322">
        <v>19644911</v>
      </c>
      <c r="G64" s="387">
        <f>IF(ISBLANK(F64),"-",(F64/$D$50*$D$47*$B$68)*($B$57/$D$64))</f>
        <v>285.55707536004377</v>
      </c>
      <c r="H64" s="405">
        <f t="shared" si="0"/>
        <v>95.185691786681261</v>
      </c>
    </row>
    <row r="65" spans="1:8" ht="26.25" customHeight="1" x14ac:dyDescent="0.4">
      <c r="A65" s="263" t="s">
        <v>100</v>
      </c>
      <c r="B65" s="264">
        <v>1</v>
      </c>
      <c r="C65" s="695"/>
      <c r="D65" s="698"/>
      <c r="E65" s="323">
        <v>2</v>
      </c>
      <c r="F65" s="276">
        <v>19792853</v>
      </c>
      <c r="G65" s="388">
        <f>IF(ISBLANK(F65),"-",(F65/$D$50*$D$47*$B$68)*($B$57/$D$64))</f>
        <v>287.70755009840809</v>
      </c>
      <c r="H65" s="406">
        <f t="shared" si="0"/>
        <v>95.902516699469359</v>
      </c>
    </row>
    <row r="66" spans="1:8" ht="26.25" customHeight="1" x14ac:dyDescent="0.4">
      <c r="A66" s="263" t="s">
        <v>101</v>
      </c>
      <c r="B66" s="264">
        <v>1</v>
      </c>
      <c r="C66" s="695"/>
      <c r="D66" s="698"/>
      <c r="E66" s="323">
        <v>3</v>
      </c>
      <c r="F66" s="276">
        <v>19457327</v>
      </c>
      <c r="G66" s="388">
        <f>IF(ISBLANK(F66),"-",(F66/$D$50*$D$47*$B$68)*($B$57/$D$64))</f>
        <v>282.83036723576981</v>
      </c>
      <c r="H66" s="406">
        <f t="shared" si="0"/>
        <v>94.276789078589943</v>
      </c>
    </row>
    <row r="67" spans="1:8" ht="27" customHeight="1" x14ac:dyDescent="0.4">
      <c r="A67" s="263" t="s">
        <v>102</v>
      </c>
      <c r="B67" s="264">
        <v>1</v>
      </c>
      <c r="C67" s="696"/>
      <c r="D67" s="699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2500</v>
      </c>
      <c r="C68" s="694" t="s">
        <v>104</v>
      </c>
      <c r="D68" s="697">
        <v>1896.7</v>
      </c>
      <c r="E68" s="321">
        <v>1</v>
      </c>
      <c r="F68" s="322">
        <v>19429521</v>
      </c>
      <c r="G68" s="387">
        <f>IF(ISBLANK(F68),"-",(F68/$D$50*$D$47*$B$68)*($B$57/$D$68))</f>
        <v>283.59061026486762</v>
      </c>
      <c r="H68" s="406">
        <f t="shared" si="0"/>
        <v>94.530203421622545</v>
      </c>
    </row>
    <row r="69" spans="1:8" ht="27" customHeight="1" x14ac:dyDescent="0.4">
      <c r="A69" s="311" t="s">
        <v>105</v>
      </c>
      <c r="B69" s="328">
        <f>(D47*B68)/B56*B57</f>
        <v>1896.7379999999998</v>
      </c>
      <c r="C69" s="695"/>
      <c r="D69" s="698"/>
      <c r="E69" s="323">
        <v>2</v>
      </c>
      <c r="F69" s="276">
        <v>19731871</v>
      </c>
      <c r="G69" s="388">
        <f>IF(ISBLANK(F69),"-",(F69/$D$50*$D$47*$B$68)*($B$57/$D$68))</f>
        <v>288.00366918760602</v>
      </c>
      <c r="H69" s="406">
        <f t="shared" si="0"/>
        <v>96.001223062535345</v>
      </c>
    </row>
    <row r="70" spans="1:8" ht="26.25" customHeight="1" x14ac:dyDescent="0.4">
      <c r="A70" s="707" t="s">
        <v>78</v>
      </c>
      <c r="B70" s="708"/>
      <c r="C70" s="695"/>
      <c r="D70" s="698"/>
      <c r="E70" s="323">
        <v>3</v>
      </c>
      <c r="F70" s="276">
        <v>19316545</v>
      </c>
      <c r="G70" s="388">
        <f>IF(ISBLANK(F70),"-",(F70/$D$50*$D$47*$B$68)*($B$57/$D$68))</f>
        <v>281.94162814197927</v>
      </c>
      <c r="H70" s="406">
        <f t="shared" si="0"/>
        <v>93.980542713993088</v>
      </c>
    </row>
    <row r="71" spans="1:8" ht="27" customHeight="1" x14ac:dyDescent="0.4">
      <c r="A71" s="709"/>
      <c r="B71" s="710"/>
      <c r="C71" s="706"/>
      <c r="D71" s="699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285.07157855147187</v>
      </c>
      <c r="H72" s="408">
        <f>AVERAGE(H60:H71)</f>
        <v>95.023859517157291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1.0412689335950265E-2</v>
      </c>
      <c r="H73" s="392">
        <f>STDEV(H60:H71)/H72</f>
        <v>1.0412689335950239E-2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702" t="str">
        <f>B26</f>
        <v>LAMIVUDINE</v>
      </c>
      <c r="D76" s="702"/>
      <c r="E76" s="337" t="s">
        <v>108</v>
      </c>
      <c r="F76" s="337"/>
      <c r="G76" s="424">
        <f>H72</f>
        <v>95.023859517157291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688" t="str">
        <f>B26</f>
        <v>LAMIVUDINE</v>
      </c>
      <c r="C79" s="688"/>
    </row>
    <row r="80" spans="1:8" ht="26.25" customHeight="1" x14ac:dyDescent="0.4">
      <c r="A80" s="248" t="s">
        <v>48</v>
      </c>
      <c r="B80" s="688" t="str">
        <f>B27</f>
        <v>L3-10</v>
      </c>
      <c r="C80" s="688"/>
    </row>
    <row r="81" spans="1:12" ht="27" customHeight="1" x14ac:dyDescent="0.4">
      <c r="A81" s="248" t="s">
        <v>6</v>
      </c>
      <c r="B81" s="340">
        <f>B28</f>
        <v>99.39</v>
      </c>
    </row>
    <row r="82" spans="1:12" s="3" customFormat="1" ht="27" customHeight="1" x14ac:dyDescent="0.4">
      <c r="A82" s="248" t="s">
        <v>49</v>
      </c>
      <c r="B82" s="250">
        <v>0</v>
      </c>
      <c r="C82" s="679" t="s">
        <v>50</v>
      </c>
      <c r="D82" s="680"/>
      <c r="E82" s="680"/>
      <c r="F82" s="680"/>
      <c r="G82" s="681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99.39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682" t="s">
        <v>111</v>
      </c>
      <c r="D84" s="683"/>
      <c r="E84" s="683"/>
      <c r="F84" s="683"/>
      <c r="G84" s="683"/>
      <c r="H84" s="684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682" t="s">
        <v>112</v>
      </c>
      <c r="D85" s="683"/>
      <c r="E85" s="683"/>
      <c r="F85" s="683"/>
      <c r="G85" s="683"/>
      <c r="H85" s="684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50</v>
      </c>
      <c r="D89" s="341" t="s">
        <v>59</v>
      </c>
      <c r="E89" s="342"/>
      <c r="F89" s="685" t="s">
        <v>60</v>
      </c>
      <c r="G89" s="687"/>
    </row>
    <row r="90" spans="1:12" ht="27" customHeight="1" x14ac:dyDescent="0.4">
      <c r="A90" s="263" t="s">
        <v>61</v>
      </c>
      <c r="B90" s="264">
        <v>1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</v>
      </c>
      <c r="C91" s="345">
        <v>1</v>
      </c>
      <c r="D91" s="271">
        <v>3651773</v>
      </c>
      <c r="E91" s="272">
        <f>IF(ISBLANK(D91),"-",$D$101/$D$98*D91)</f>
        <v>3686473.7776691997</v>
      </c>
      <c r="F91" s="271">
        <v>3767651</v>
      </c>
      <c r="G91" s="273">
        <f>IF(ISBLANK(F91),"-",$D$101/$F$98*F91)</f>
        <v>3694712.2084089159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3698784</v>
      </c>
      <c r="E92" s="277">
        <f>IF(ISBLANK(D92),"-",$D$101/$D$98*D92)</f>
        <v>3733931.497182983</v>
      </c>
      <c r="F92" s="276">
        <v>3795539</v>
      </c>
      <c r="G92" s="278">
        <f>IF(ISBLANK(F92),"-",$D$101/$F$98*F92)</f>
        <v>3722060.3184297504</v>
      </c>
      <c r="I92" s="689">
        <f>ABS((F96/D96*D95)-F95)/D95</f>
        <v>2.5864316921921831E-3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3697792</v>
      </c>
      <c r="E93" s="277">
        <f>IF(ISBLANK(D93),"-",$D$101/$D$98*D93)</f>
        <v>3732930.0707560261</v>
      </c>
      <c r="F93" s="276">
        <v>3781752</v>
      </c>
      <c r="G93" s="278">
        <f>IF(ISBLANK(F93),"-",$D$101/$F$98*F93)</f>
        <v>3708540.2240215014</v>
      </c>
      <c r="I93" s="689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3682783</v>
      </c>
      <c r="E95" s="287">
        <f>AVERAGE(E91:E94)</f>
        <v>3717778.4485360696</v>
      </c>
      <c r="F95" s="350">
        <f>AVERAGE(F91:F94)</f>
        <v>3781647.3333333335</v>
      </c>
      <c r="G95" s="351">
        <f>AVERAGE(G91:G94)</f>
        <v>3708437.583620056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14.95</v>
      </c>
      <c r="E96" s="279"/>
      <c r="F96" s="291">
        <v>15.39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14.95</v>
      </c>
      <c r="E97" s="294"/>
      <c r="F97" s="293">
        <f>F96*$B$87</f>
        <v>15.39</v>
      </c>
    </row>
    <row r="98" spans="1:10" ht="19.5" customHeight="1" x14ac:dyDescent="0.3">
      <c r="A98" s="263" t="s">
        <v>76</v>
      </c>
      <c r="B98" s="356">
        <f>(B97/B96)*(B95/B94)*(B93/B92)*(B91/B90)*B89</f>
        <v>50</v>
      </c>
      <c r="C98" s="354" t="s">
        <v>115</v>
      </c>
      <c r="D98" s="357">
        <f>D97*$B$83/100</f>
        <v>14.858805</v>
      </c>
      <c r="E98" s="297"/>
      <c r="F98" s="296">
        <f>F97*$B$83/100</f>
        <v>15.296121000000001</v>
      </c>
    </row>
    <row r="99" spans="1:10" ht="19.5" customHeight="1" x14ac:dyDescent="0.3">
      <c r="A99" s="690" t="s">
        <v>78</v>
      </c>
      <c r="B99" s="704"/>
      <c r="C99" s="354" t="s">
        <v>116</v>
      </c>
      <c r="D99" s="358">
        <f>D98/$B$98</f>
        <v>0.2971761</v>
      </c>
      <c r="E99" s="297"/>
      <c r="F99" s="300">
        <f>F98/$B$98</f>
        <v>0.30592242000000003</v>
      </c>
      <c r="G99" s="359"/>
      <c r="H99" s="289"/>
    </row>
    <row r="100" spans="1:10" ht="19.5" customHeight="1" x14ac:dyDescent="0.3">
      <c r="A100" s="692"/>
      <c r="B100" s="705"/>
      <c r="C100" s="354" t="s">
        <v>80</v>
      </c>
      <c r="D100" s="360">
        <f>$B$56/$B$116</f>
        <v>0.3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15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15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3713108.0160780628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5.3529973754918017E-3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1000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</v>
      </c>
      <c r="C108" s="414">
        <v>1</v>
      </c>
      <c r="D108" s="415">
        <v>3799612</v>
      </c>
      <c r="E108" s="389">
        <f t="shared" ref="E108:E113" si="1">IF(ISBLANK(D108),"-",D108/$D$103*$D$100*$B$116)</f>
        <v>306.98907628439849</v>
      </c>
      <c r="F108" s="416">
        <f t="shared" ref="F108:F113" si="2">IF(ISBLANK(D108), "-", (E108/$B$56)*100)</f>
        <v>102.3296920947995</v>
      </c>
    </row>
    <row r="109" spans="1:10" ht="26.25" customHeight="1" x14ac:dyDescent="0.4">
      <c r="A109" s="263" t="s">
        <v>95</v>
      </c>
      <c r="B109" s="264">
        <v>1</v>
      </c>
      <c r="C109" s="410">
        <v>2</v>
      </c>
      <c r="D109" s="412">
        <v>3795042</v>
      </c>
      <c r="E109" s="390">
        <f t="shared" si="1"/>
        <v>306.6198438262897</v>
      </c>
      <c r="F109" s="417">
        <f t="shared" si="2"/>
        <v>102.20661460876323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3819274</v>
      </c>
      <c r="E110" s="390">
        <f t="shared" si="1"/>
        <v>308.57766459760097</v>
      </c>
      <c r="F110" s="417">
        <f t="shared" si="2"/>
        <v>102.85922153253367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3746193</v>
      </c>
      <c r="E111" s="390">
        <f t="shared" si="1"/>
        <v>302.67309626695561</v>
      </c>
      <c r="F111" s="417">
        <f t="shared" si="2"/>
        <v>100.8910320889852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3767481</v>
      </c>
      <c r="E112" s="390">
        <f t="shared" si="1"/>
        <v>304.39305700398404</v>
      </c>
      <c r="F112" s="417">
        <f t="shared" si="2"/>
        <v>101.46435233466136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3788926</v>
      </c>
      <c r="E113" s="391">
        <f t="shared" si="1"/>
        <v>306.125702532243</v>
      </c>
      <c r="F113" s="418">
        <f t="shared" si="2"/>
        <v>102.041900844081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305.89640675191191</v>
      </c>
      <c r="F115" s="420">
        <f>AVERAGE(F108:F113)</f>
        <v>101.96546891730399</v>
      </c>
    </row>
    <row r="116" spans="1:10" ht="27" customHeight="1" x14ac:dyDescent="0.4">
      <c r="A116" s="263" t="s">
        <v>103</v>
      </c>
      <c r="B116" s="295">
        <f>(B115/B114)*(B113/B112)*(B111/B110)*(B109/B108)*B107</f>
        <v>1000</v>
      </c>
      <c r="C116" s="373"/>
      <c r="D116" s="397" t="s">
        <v>84</v>
      </c>
      <c r="E116" s="395">
        <f>STDEV(E108:E113)/E115</f>
        <v>6.7960401767748575E-3</v>
      </c>
      <c r="F116" s="374">
        <f>STDEV(F108:F113)/F115</f>
        <v>6.7960401767748809E-3</v>
      </c>
      <c r="I116" s="237"/>
    </row>
    <row r="117" spans="1:10" ht="27" customHeight="1" x14ac:dyDescent="0.4">
      <c r="A117" s="690" t="s">
        <v>78</v>
      </c>
      <c r="B117" s="691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692"/>
      <c r="B118" s="693"/>
      <c r="C118" s="237"/>
      <c r="D118" s="399"/>
      <c r="E118" s="670" t="s">
        <v>123</v>
      </c>
      <c r="F118" s="671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302.67309626695561</v>
      </c>
      <c r="F119" s="421">
        <f>MIN(F108:F113)</f>
        <v>100.8910320889852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308.57766459760097</v>
      </c>
      <c r="F120" s="422">
        <f>MAX(F108:F113)</f>
        <v>102.85922153253367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702" t="str">
        <f>B26</f>
        <v>LAMIVUDINE</v>
      </c>
      <c r="D124" s="702"/>
      <c r="E124" s="337" t="s">
        <v>127</v>
      </c>
      <c r="F124" s="337"/>
      <c r="G124" s="423">
        <f>F115</f>
        <v>101.96546891730399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100.8910320889852</v>
      </c>
      <c r="E125" s="348" t="s">
        <v>130</v>
      </c>
      <c r="F125" s="423">
        <f>MAX(F108:F113)</f>
        <v>102.85922153253367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703" t="s">
        <v>26</v>
      </c>
      <c r="C127" s="703"/>
      <c r="E127" s="343" t="s">
        <v>27</v>
      </c>
      <c r="F127" s="378"/>
      <c r="G127" s="703" t="s">
        <v>28</v>
      </c>
      <c r="H127" s="703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C24" sqref="C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0" t="s">
        <v>45</v>
      </c>
      <c r="B1" s="700"/>
      <c r="C1" s="700"/>
      <c r="D1" s="700"/>
      <c r="E1" s="700"/>
      <c r="F1" s="700"/>
      <c r="G1" s="700"/>
      <c r="H1" s="700"/>
      <c r="I1" s="700"/>
    </row>
    <row r="2" spans="1:9" ht="18.75" customHeight="1" x14ac:dyDescent="0.25">
      <c r="A2" s="700"/>
      <c r="B2" s="700"/>
      <c r="C2" s="700"/>
      <c r="D2" s="700"/>
      <c r="E2" s="700"/>
      <c r="F2" s="700"/>
      <c r="G2" s="700"/>
      <c r="H2" s="700"/>
      <c r="I2" s="700"/>
    </row>
    <row r="3" spans="1:9" ht="18.75" customHeight="1" x14ac:dyDescent="0.25">
      <c r="A3" s="700"/>
      <c r="B3" s="700"/>
      <c r="C3" s="700"/>
      <c r="D3" s="700"/>
      <c r="E3" s="700"/>
      <c r="F3" s="700"/>
      <c r="G3" s="700"/>
      <c r="H3" s="700"/>
      <c r="I3" s="700"/>
    </row>
    <row r="4" spans="1:9" ht="18.75" customHeight="1" x14ac:dyDescent="0.25">
      <c r="A4" s="700"/>
      <c r="B4" s="700"/>
      <c r="C4" s="700"/>
      <c r="D4" s="700"/>
      <c r="E4" s="700"/>
      <c r="F4" s="700"/>
      <c r="G4" s="700"/>
      <c r="H4" s="700"/>
      <c r="I4" s="700"/>
    </row>
    <row r="5" spans="1:9" ht="18.75" customHeight="1" x14ac:dyDescent="0.25">
      <c r="A5" s="700"/>
      <c r="B5" s="700"/>
      <c r="C5" s="700"/>
      <c r="D5" s="700"/>
      <c r="E5" s="700"/>
      <c r="F5" s="700"/>
      <c r="G5" s="700"/>
      <c r="H5" s="700"/>
      <c r="I5" s="700"/>
    </row>
    <row r="6" spans="1:9" ht="18.75" customHeight="1" x14ac:dyDescent="0.25">
      <c r="A6" s="700"/>
      <c r="B6" s="700"/>
      <c r="C6" s="700"/>
      <c r="D6" s="700"/>
      <c r="E6" s="700"/>
      <c r="F6" s="700"/>
      <c r="G6" s="700"/>
      <c r="H6" s="700"/>
      <c r="I6" s="700"/>
    </row>
    <row r="7" spans="1:9" ht="18.75" customHeight="1" x14ac:dyDescent="0.25">
      <c r="A7" s="700"/>
      <c r="B7" s="700"/>
      <c r="C7" s="700"/>
      <c r="D7" s="700"/>
      <c r="E7" s="700"/>
      <c r="F7" s="700"/>
      <c r="G7" s="700"/>
      <c r="H7" s="700"/>
      <c r="I7" s="700"/>
    </row>
    <row r="8" spans="1:9" x14ac:dyDescent="0.25">
      <c r="A8" s="701" t="s">
        <v>46</v>
      </c>
      <c r="B8" s="701"/>
      <c r="C8" s="701"/>
      <c r="D8" s="701"/>
      <c r="E8" s="701"/>
      <c r="F8" s="701"/>
      <c r="G8" s="701"/>
      <c r="H8" s="701"/>
      <c r="I8" s="701"/>
    </row>
    <row r="9" spans="1:9" x14ac:dyDescent="0.25">
      <c r="A9" s="701"/>
      <c r="B9" s="701"/>
      <c r="C9" s="701"/>
      <c r="D9" s="701"/>
      <c r="E9" s="701"/>
      <c r="F9" s="701"/>
      <c r="G9" s="701"/>
      <c r="H9" s="701"/>
      <c r="I9" s="701"/>
    </row>
    <row r="10" spans="1:9" x14ac:dyDescent="0.25">
      <c r="A10" s="701"/>
      <c r="B10" s="701"/>
      <c r="C10" s="701"/>
      <c r="D10" s="701"/>
      <c r="E10" s="701"/>
      <c r="F10" s="701"/>
      <c r="G10" s="701"/>
      <c r="H10" s="701"/>
      <c r="I10" s="701"/>
    </row>
    <row r="11" spans="1:9" x14ac:dyDescent="0.25">
      <c r="A11" s="701"/>
      <c r="B11" s="701"/>
      <c r="C11" s="701"/>
      <c r="D11" s="701"/>
      <c r="E11" s="701"/>
      <c r="F11" s="701"/>
      <c r="G11" s="701"/>
      <c r="H11" s="701"/>
      <c r="I11" s="701"/>
    </row>
    <row r="12" spans="1:9" x14ac:dyDescent="0.25">
      <c r="A12" s="701"/>
      <c r="B12" s="701"/>
      <c r="C12" s="701"/>
      <c r="D12" s="701"/>
      <c r="E12" s="701"/>
      <c r="F12" s="701"/>
      <c r="G12" s="701"/>
      <c r="H12" s="701"/>
      <c r="I12" s="701"/>
    </row>
    <row r="13" spans="1:9" x14ac:dyDescent="0.25">
      <c r="A13" s="701"/>
      <c r="B13" s="701"/>
      <c r="C13" s="701"/>
      <c r="D13" s="701"/>
      <c r="E13" s="701"/>
      <c r="F13" s="701"/>
      <c r="G13" s="701"/>
      <c r="H13" s="701"/>
      <c r="I13" s="701"/>
    </row>
    <row r="14" spans="1:9" x14ac:dyDescent="0.25">
      <c r="A14" s="701"/>
      <c r="B14" s="701"/>
      <c r="C14" s="701"/>
      <c r="D14" s="701"/>
      <c r="E14" s="701"/>
      <c r="F14" s="701"/>
      <c r="G14" s="701"/>
      <c r="H14" s="701"/>
      <c r="I14" s="701"/>
    </row>
    <row r="15" spans="1:9" ht="19.5" customHeight="1" x14ac:dyDescent="0.3">
      <c r="A15" s="425"/>
    </row>
    <row r="16" spans="1:9" ht="19.5" customHeight="1" x14ac:dyDescent="0.3">
      <c r="A16" s="673" t="s">
        <v>31</v>
      </c>
      <c r="B16" s="674"/>
      <c r="C16" s="674"/>
      <c r="D16" s="674"/>
      <c r="E16" s="674"/>
      <c r="F16" s="674"/>
      <c r="G16" s="674"/>
      <c r="H16" s="675"/>
    </row>
    <row r="17" spans="1:14" ht="20.25" customHeight="1" x14ac:dyDescent="0.25">
      <c r="A17" s="676" t="s">
        <v>47</v>
      </c>
      <c r="B17" s="676"/>
      <c r="C17" s="676"/>
      <c r="D17" s="676"/>
      <c r="E17" s="676"/>
      <c r="F17" s="676"/>
      <c r="G17" s="676"/>
      <c r="H17" s="676"/>
    </row>
    <row r="18" spans="1:14" ht="26.25" customHeight="1" x14ac:dyDescent="0.4">
      <c r="A18" s="427" t="s">
        <v>33</v>
      </c>
      <c r="B18" s="672" t="s">
        <v>5</v>
      </c>
      <c r="C18" s="672"/>
      <c r="D18" s="573"/>
      <c r="E18" s="428"/>
      <c r="F18" s="429"/>
      <c r="G18" s="429"/>
      <c r="H18" s="429"/>
    </row>
    <row r="19" spans="1:14" ht="26.25" customHeight="1" x14ac:dyDescent="0.4">
      <c r="A19" s="427" t="s">
        <v>34</v>
      </c>
      <c r="B19" s="430" t="s">
        <v>7</v>
      </c>
      <c r="C19" s="582">
        <v>1</v>
      </c>
      <c r="D19" s="429"/>
      <c r="E19" s="429"/>
      <c r="F19" s="429"/>
      <c r="G19" s="429"/>
      <c r="H19" s="429"/>
    </row>
    <row r="20" spans="1:14" ht="26.25" customHeight="1" x14ac:dyDescent="0.4">
      <c r="A20" s="427" t="s">
        <v>35</v>
      </c>
      <c r="B20" s="677" t="s">
        <v>137</v>
      </c>
      <c r="C20" s="677"/>
      <c r="D20" s="429"/>
      <c r="E20" s="429"/>
      <c r="F20" s="429"/>
      <c r="G20" s="429"/>
      <c r="H20" s="429"/>
    </row>
    <row r="21" spans="1:14" ht="26.25" customHeight="1" x14ac:dyDescent="0.4">
      <c r="A21" s="427" t="s">
        <v>36</v>
      </c>
      <c r="B21" s="677" t="s">
        <v>11</v>
      </c>
      <c r="C21" s="677"/>
      <c r="D21" s="677"/>
      <c r="E21" s="677"/>
      <c r="F21" s="677"/>
      <c r="G21" s="677"/>
      <c r="H21" s="677"/>
      <c r="I21" s="431"/>
    </row>
    <row r="22" spans="1:14" ht="26.25" customHeight="1" x14ac:dyDescent="0.4">
      <c r="A22" s="427" t="s">
        <v>37</v>
      </c>
      <c r="B22" s="432">
        <v>42985</v>
      </c>
      <c r="C22" s="429"/>
      <c r="D22" s="429"/>
      <c r="E22" s="429"/>
      <c r="F22" s="429"/>
      <c r="G22" s="429"/>
      <c r="H22" s="429"/>
    </row>
    <row r="23" spans="1:14" ht="26.25" customHeight="1" x14ac:dyDescent="0.4">
      <c r="A23" s="427" t="s">
        <v>38</v>
      </c>
      <c r="B23" s="432">
        <v>43006</v>
      </c>
      <c r="C23" s="429"/>
      <c r="D23" s="429"/>
      <c r="E23" s="429"/>
      <c r="F23" s="429"/>
      <c r="G23" s="429"/>
      <c r="H23" s="429"/>
    </row>
    <row r="24" spans="1:14" ht="18.75" x14ac:dyDescent="0.3">
      <c r="A24" s="427"/>
      <c r="B24" s="433"/>
    </row>
    <row r="25" spans="1:14" ht="18.75" x14ac:dyDescent="0.3">
      <c r="A25" s="434" t="s">
        <v>1</v>
      </c>
      <c r="B25" s="433"/>
    </row>
    <row r="26" spans="1:14" ht="26.25" customHeight="1" x14ac:dyDescent="0.4">
      <c r="A26" s="435" t="s">
        <v>4</v>
      </c>
      <c r="B26" s="672" t="s">
        <v>138</v>
      </c>
      <c r="C26" s="672"/>
    </row>
    <row r="27" spans="1:14" ht="26.25" customHeight="1" x14ac:dyDescent="0.4">
      <c r="A27" s="436" t="s">
        <v>48</v>
      </c>
      <c r="B27" s="678" t="s">
        <v>139</v>
      </c>
      <c r="C27" s="678"/>
    </row>
    <row r="28" spans="1:14" ht="27" customHeight="1" x14ac:dyDescent="0.4">
      <c r="A28" s="436" t="s">
        <v>6</v>
      </c>
      <c r="B28" s="437">
        <v>97.21</v>
      </c>
    </row>
    <row r="29" spans="1:14" s="3" customFormat="1" ht="27" customHeight="1" x14ac:dyDescent="0.4">
      <c r="A29" s="436" t="s">
        <v>49</v>
      </c>
      <c r="B29" s="438">
        <v>0</v>
      </c>
      <c r="C29" s="679" t="s">
        <v>50</v>
      </c>
      <c r="D29" s="680"/>
      <c r="E29" s="680"/>
      <c r="F29" s="680"/>
      <c r="G29" s="681"/>
      <c r="I29" s="439"/>
      <c r="J29" s="439"/>
      <c r="K29" s="439"/>
      <c r="L29" s="439"/>
    </row>
    <row r="30" spans="1:14" s="3" customFormat="1" ht="19.5" customHeight="1" x14ac:dyDescent="0.3">
      <c r="A30" s="436" t="s">
        <v>51</v>
      </c>
      <c r="B30" s="440">
        <f>B28-B29</f>
        <v>97.21</v>
      </c>
      <c r="C30" s="441"/>
      <c r="D30" s="441"/>
      <c r="E30" s="441"/>
      <c r="F30" s="441"/>
      <c r="G30" s="442"/>
      <c r="I30" s="439"/>
      <c r="J30" s="439"/>
      <c r="K30" s="439"/>
      <c r="L30" s="439"/>
    </row>
    <row r="31" spans="1:14" s="3" customFormat="1" ht="27" customHeight="1" x14ac:dyDescent="0.4">
      <c r="A31" s="436" t="s">
        <v>52</v>
      </c>
      <c r="B31" s="443">
        <v>1</v>
      </c>
      <c r="C31" s="682" t="s">
        <v>53</v>
      </c>
      <c r="D31" s="683"/>
      <c r="E31" s="683"/>
      <c r="F31" s="683"/>
      <c r="G31" s="683"/>
      <c r="H31" s="684"/>
      <c r="I31" s="439"/>
      <c r="J31" s="439"/>
      <c r="K31" s="439"/>
      <c r="L31" s="439"/>
    </row>
    <row r="32" spans="1:14" s="3" customFormat="1" ht="27" customHeight="1" x14ac:dyDescent="0.4">
      <c r="A32" s="436" t="s">
        <v>54</v>
      </c>
      <c r="B32" s="443">
        <v>1</v>
      </c>
      <c r="C32" s="682" t="s">
        <v>55</v>
      </c>
      <c r="D32" s="683"/>
      <c r="E32" s="683"/>
      <c r="F32" s="683"/>
      <c r="G32" s="683"/>
      <c r="H32" s="684"/>
      <c r="I32" s="439"/>
      <c r="J32" s="439"/>
      <c r="K32" s="439"/>
      <c r="L32" s="444"/>
      <c r="M32" s="444"/>
      <c r="N32" s="445"/>
    </row>
    <row r="33" spans="1:14" s="3" customFormat="1" ht="17.25" customHeight="1" x14ac:dyDescent="0.3">
      <c r="A33" s="436"/>
      <c r="B33" s="446"/>
      <c r="C33" s="447"/>
      <c r="D33" s="447"/>
      <c r="E33" s="447"/>
      <c r="F33" s="447"/>
      <c r="G33" s="447"/>
      <c r="H33" s="447"/>
      <c r="I33" s="439"/>
      <c r="J33" s="439"/>
      <c r="K33" s="439"/>
      <c r="L33" s="444"/>
      <c r="M33" s="444"/>
      <c r="N33" s="445"/>
    </row>
    <row r="34" spans="1:14" s="3" customFormat="1" ht="18.75" x14ac:dyDescent="0.3">
      <c r="A34" s="436" t="s">
        <v>56</v>
      </c>
      <c r="B34" s="448">
        <f>B31/B32</f>
        <v>1</v>
      </c>
      <c r="C34" s="426" t="s">
        <v>57</v>
      </c>
      <c r="D34" s="426"/>
      <c r="E34" s="426"/>
      <c r="F34" s="426"/>
      <c r="G34" s="426"/>
      <c r="I34" s="439"/>
      <c r="J34" s="439"/>
      <c r="K34" s="439"/>
      <c r="L34" s="444"/>
      <c r="M34" s="444"/>
      <c r="N34" s="445"/>
    </row>
    <row r="35" spans="1:14" s="3" customFormat="1" ht="19.5" customHeight="1" x14ac:dyDescent="0.3">
      <c r="A35" s="436"/>
      <c r="B35" s="440"/>
      <c r="G35" s="426"/>
      <c r="I35" s="439"/>
      <c r="J35" s="439"/>
      <c r="K35" s="439"/>
      <c r="L35" s="444"/>
      <c r="M35" s="444"/>
      <c r="N35" s="445"/>
    </row>
    <row r="36" spans="1:14" s="3" customFormat="1" ht="27" customHeight="1" x14ac:dyDescent="0.4">
      <c r="A36" s="449" t="s">
        <v>58</v>
      </c>
      <c r="B36" s="450">
        <v>100</v>
      </c>
      <c r="C36" s="426"/>
      <c r="D36" s="685" t="s">
        <v>59</v>
      </c>
      <c r="E36" s="686"/>
      <c r="F36" s="685" t="s">
        <v>60</v>
      </c>
      <c r="G36" s="687"/>
      <c r="J36" s="439"/>
      <c r="K36" s="439"/>
      <c r="L36" s="444"/>
      <c r="M36" s="444"/>
      <c r="N36" s="445"/>
    </row>
    <row r="37" spans="1:14" s="3" customFormat="1" ht="27" customHeight="1" x14ac:dyDescent="0.4">
      <c r="A37" s="451" t="s">
        <v>61</v>
      </c>
      <c r="B37" s="452">
        <v>1</v>
      </c>
      <c r="C37" s="453" t="s">
        <v>62</v>
      </c>
      <c r="D37" s="454" t="s">
        <v>63</v>
      </c>
      <c r="E37" s="455" t="s">
        <v>64</v>
      </c>
      <c r="F37" s="454" t="s">
        <v>63</v>
      </c>
      <c r="G37" s="456" t="s">
        <v>64</v>
      </c>
      <c r="I37" s="457" t="s">
        <v>65</v>
      </c>
      <c r="J37" s="439"/>
      <c r="K37" s="439"/>
      <c r="L37" s="444"/>
      <c r="M37" s="444"/>
      <c r="N37" s="445"/>
    </row>
    <row r="38" spans="1:14" s="3" customFormat="1" ht="26.25" customHeight="1" x14ac:dyDescent="0.4">
      <c r="A38" s="451" t="s">
        <v>66</v>
      </c>
      <c r="B38" s="452">
        <v>1</v>
      </c>
      <c r="C38" s="458">
        <v>1</v>
      </c>
      <c r="D38" s="459">
        <v>4101143</v>
      </c>
      <c r="E38" s="460">
        <f>IF(ISBLANK(D38),"-",$D$48/$D$45*D38)</f>
        <v>4210077.8882591454</v>
      </c>
      <c r="F38" s="459">
        <v>4584981</v>
      </c>
      <c r="G38" s="461">
        <f>IF(ISBLANK(F38),"-",$D$48/$F$45*F38)</f>
        <v>4276454.9130021138</v>
      </c>
      <c r="I38" s="462"/>
      <c r="J38" s="439"/>
      <c r="K38" s="439"/>
      <c r="L38" s="444"/>
      <c r="M38" s="444"/>
      <c r="N38" s="445"/>
    </row>
    <row r="39" spans="1:14" s="3" customFormat="1" ht="26.25" customHeight="1" x14ac:dyDescent="0.4">
      <c r="A39" s="451" t="s">
        <v>67</v>
      </c>
      <c r="B39" s="452">
        <v>1</v>
      </c>
      <c r="C39" s="463">
        <v>2</v>
      </c>
      <c r="D39" s="464">
        <v>4152489</v>
      </c>
      <c r="E39" s="465">
        <f>IF(ISBLANK(D39),"-",$D$48/$D$45*D39)</f>
        <v>4262787.7448163433</v>
      </c>
      <c r="F39" s="464">
        <v>4558801</v>
      </c>
      <c r="G39" s="466">
        <f>IF(ISBLANK(F39),"-",$D$48/$F$45*F39)</f>
        <v>4252036.5807075202</v>
      </c>
      <c r="I39" s="689">
        <f>ABS((F43/D43*D42)-F42)/D42</f>
        <v>5.8841452260763628E-3</v>
      </c>
      <c r="J39" s="439"/>
      <c r="K39" s="439"/>
      <c r="L39" s="444"/>
      <c r="M39" s="444"/>
      <c r="N39" s="445"/>
    </row>
    <row r="40" spans="1:14" ht="26.25" customHeight="1" x14ac:dyDescent="0.4">
      <c r="A40" s="451" t="s">
        <v>68</v>
      </c>
      <c r="B40" s="452">
        <v>1</v>
      </c>
      <c r="C40" s="463">
        <v>3</v>
      </c>
      <c r="D40" s="464">
        <v>4156496</v>
      </c>
      <c r="E40" s="465">
        <f>IF(ISBLANK(D40),"-",$D$48/$D$45*D40)</f>
        <v>4266901.1790707093</v>
      </c>
      <c r="F40" s="464">
        <v>4588122</v>
      </c>
      <c r="G40" s="466">
        <f>IF(ISBLANK(F40),"-",$D$48/$F$45*F40)</f>
        <v>4279384.5532518197</v>
      </c>
      <c r="I40" s="689"/>
      <c r="L40" s="444"/>
      <c r="M40" s="444"/>
      <c r="N40" s="467"/>
    </row>
    <row r="41" spans="1:14" ht="27" customHeight="1" x14ac:dyDescent="0.4">
      <c r="A41" s="451" t="s">
        <v>69</v>
      </c>
      <c r="B41" s="452">
        <v>1</v>
      </c>
      <c r="C41" s="468">
        <v>4</v>
      </c>
      <c r="D41" s="469"/>
      <c r="E41" s="470" t="str">
        <f>IF(ISBLANK(D41),"-",$D$48/$D$45*D41)</f>
        <v>-</v>
      </c>
      <c r="F41" s="469"/>
      <c r="G41" s="471" t="str">
        <f>IF(ISBLANK(F41),"-",$D$48/$F$45*F41)</f>
        <v>-</v>
      </c>
      <c r="I41" s="472"/>
      <c r="L41" s="444"/>
      <c r="M41" s="444"/>
      <c r="N41" s="467"/>
    </row>
    <row r="42" spans="1:14" ht="27" customHeight="1" x14ac:dyDescent="0.4">
      <c r="A42" s="451" t="s">
        <v>70</v>
      </c>
      <c r="B42" s="452">
        <v>1</v>
      </c>
      <c r="C42" s="473" t="s">
        <v>71</v>
      </c>
      <c r="D42" s="474">
        <f>AVERAGE(D38:D41)</f>
        <v>4136709.3333333335</v>
      </c>
      <c r="E42" s="475">
        <f>AVERAGE(E38:E41)</f>
        <v>4246588.9373820657</v>
      </c>
      <c r="F42" s="474">
        <f>AVERAGE(F38:F41)</f>
        <v>4577301.333333333</v>
      </c>
      <c r="G42" s="476">
        <f>AVERAGE(G38:G41)</f>
        <v>4269292.0156538179</v>
      </c>
      <c r="H42" s="477"/>
    </row>
    <row r="43" spans="1:14" ht="26.25" customHeight="1" x14ac:dyDescent="0.4">
      <c r="A43" s="451" t="s">
        <v>72</v>
      </c>
      <c r="B43" s="452">
        <v>1</v>
      </c>
      <c r="C43" s="478" t="s">
        <v>73</v>
      </c>
      <c r="D43" s="479">
        <v>24.05</v>
      </c>
      <c r="E43" s="467"/>
      <c r="F43" s="479">
        <v>26.47</v>
      </c>
      <c r="H43" s="477"/>
    </row>
    <row r="44" spans="1:14" ht="26.25" customHeight="1" x14ac:dyDescent="0.4">
      <c r="A44" s="451" t="s">
        <v>74</v>
      </c>
      <c r="B44" s="452">
        <v>1</v>
      </c>
      <c r="C44" s="480" t="s">
        <v>75</v>
      </c>
      <c r="D44" s="481">
        <f>D43*$B$34</f>
        <v>24.05</v>
      </c>
      <c r="E44" s="482"/>
      <c r="F44" s="481">
        <f>F43*$B$34</f>
        <v>26.47</v>
      </c>
      <c r="H44" s="477"/>
    </row>
    <row r="45" spans="1:14" ht="19.5" customHeight="1" x14ac:dyDescent="0.3">
      <c r="A45" s="451" t="s">
        <v>76</v>
      </c>
      <c r="B45" s="483">
        <f>(B44/B43)*(B42/B41)*(B40/B39)*(B38/B37)*B36</f>
        <v>100</v>
      </c>
      <c r="C45" s="480" t="s">
        <v>77</v>
      </c>
      <c r="D45" s="484">
        <f>D44*$B$30/100</f>
        <v>23.379004999999996</v>
      </c>
      <c r="E45" s="485"/>
      <c r="F45" s="484">
        <f>F44*$B$30/100</f>
        <v>25.731486999999998</v>
      </c>
      <c r="H45" s="477"/>
    </row>
    <row r="46" spans="1:14" ht="19.5" customHeight="1" x14ac:dyDescent="0.3">
      <c r="A46" s="690" t="s">
        <v>78</v>
      </c>
      <c r="B46" s="691"/>
      <c r="C46" s="480" t="s">
        <v>79</v>
      </c>
      <c r="D46" s="486">
        <f>D45/$B$45</f>
        <v>0.23379004999999997</v>
      </c>
      <c r="E46" s="487"/>
      <c r="F46" s="488">
        <f>F45/$B$45</f>
        <v>0.25731486999999997</v>
      </c>
      <c r="H46" s="477"/>
    </row>
    <row r="47" spans="1:14" ht="27" customHeight="1" x14ac:dyDescent="0.4">
      <c r="A47" s="692"/>
      <c r="B47" s="693"/>
      <c r="C47" s="489" t="s">
        <v>80</v>
      </c>
      <c r="D47" s="490">
        <v>0.24</v>
      </c>
      <c r="E47" s="491"/>
      <c r="F47" s="487"/>
      <c r="H47" s="477"/>
    </row>
    <row r="48" spans="1:14" ht="18.75" x14ac:dyDescent="0.3">
      <c r="C48" s="492" t="s">
        <v>81</v>
      </c>
      <c r="D48" s="484">
        <f>D47*$B$45</f>
        <v>24</v>
      </c>
      <c r="F48" s="493"/>
      <c r="H48" s="477"/>
    </row>
    <row r="49" spans="1:12" ht="19.5" customHeight="1" x14ac:dyDescent="0.3">
      <c r="C49" s="494" t="s">
        <v>82</v>
      </c>
      <c r="D49" s="495">
        <f>D48/B34</f>
        <v>24</v>
      </c>
      <c r="F49" s="493"/>
      <c r="H49" s="477"/>
    </row>
    <row r="50" spans="1:12" ht="18.75" x14ac:dyDescent="0.3">
      <c r="C50" s="449" t="s">
        <v>83</v>
      </c>
      <c r="D50" s="496">
        <f>AVERAGE(E38:E41,G38:G41)</f>
        <v>4257940.4765179418</v>
      </c>
      <c r="F50" s="497"/>
      <c r="H50" s="477"/>
    </row>
    <row r="51" spans="1:12" ht="18.75" x14ac:dyDescent="0.3">
      <c r="C51" s="451" t="s">
        <v>84</v>
      </c>
      <c r="D51" s="498">
        <f>STDEV(E38:E41,G38:G41)/D50</f>
        <v>5.9711534421229518E-3</v>
      </c>
      <c r="F51" s="497"/>
      <c r="H51" s="477"/>
    </row>
    <row r="52" spans="1:12" ht="19.5" customHeight="1" x14ac:dyDescent="0.3">
      <c r="C52" s="499" t="s">
        <v>20</v>
      </c>
      <c r="D52" s="500">
        <f>COUNT(E38:E41,G38:G41)</f>
        <v>6</v>
      </c>
      <c r="F52" s="497"/>
    </row>
    <row r="54" spans="1:12" ht="18.75" x14ac:dyDescent="0.3">
      <c r="A54" s="501" t="s">
        <v>1</v>
      </c>
      <c r="B54" s="502" t="s">
        <v>85</v>
      </c>
    </row>
    <row r="55" spans="1:12" ht="18.75" x14ac:dyDescent="0.3">
      <c r="A55" s="426" t="s">
        <v>86</v>
      </c>
      <c r="B55" s="503" t="str">
        <f>B21</f>
        <v>Each film coated tablet contains Tenofovir Disoproxil Fumarate 300 mg, Lamivudine USP 300 mg &amp; Efavirenz USP 600 mg tablets.</v>
      </c>
    </row>
    <row r="56" spans="1:12" ht="26.25" customHeight="1" x14ac:dyDescent="0.4">
      <c r="A56" s="504" t="s">
        <v>87</v>
      </c>
      <c r="B56" s="505">
        <v>600</v>
      </c>
      <c r="C56" s="426" t="str">
        <f>B20</f>
        <v>Efavirenz</v>
      </c>
      <c r="H56" s="506"/>
    </row>
    <row r="57" spans="1:12" ht="18.75" x14ac:dyDescent="0.3">
      <c r="A57" s="503" t="s">
        <v>88</v>
      </c>
      <c r="B57" s="574">
        <f>Uniformity!C46</f>
        <v>1896.7379999999998</v>
      </c>
      <c r="H57" s="506"/>
    </row>
    <row r="58" spans="1:12" ht="19.5" customHeight="1" x14ac:dyDescent="0.3">
      <c r="H58" s="506"/>
    </row>
    <row r="59" spans="1:12" s="3" customFormat="1" ht="27" customHeight="1" x14ac:dyDescent="0.4">
      <c r="A59" s="449" t="s">
        <v>89</v>
      </c>
      <c r="B59" s="450">
        <v>200</v>
      </c>
      <c r="C59" s="426"/>
      <c r="D59" s="507" t="s">
        <v>90</v>
      </c>
      <c r="E59" s="508" t="s">
        <v>62</v>
      </c>
      <c r="F59" s="508" t="s">
        <v>63</v>
      </c>
      <c r="G59" s="508" t="s">
        <v>91</v>
      </c>
      <c r="H59" s="453" t="s">
        <v>92</v>
      </c>
      <c r="L59" s="439"/>
    </row>
    <row r="60" spans="1:12" s="3" customFormat="1" ht="26.25" customHeight="1" x14ac:dyDescent="0.4">
      <c r="A60" s="451" t="s">
        <v>93</v>
      </c>
      <c r="B60" s="452">
        <v>4</v>
      </c>
      <c r="C60" s="694" t="s">
        <v>94</v>
      </c>
      <c r="D60" s="697">
        <v>1884.5</v>
      </c>
      <c r="E60" s="509">
        <v>1</v>
      </c>
      <c r="F60" s="510">
        <v>3957661</v>
      </c>
      <c r="G60" s="575">
        <f>IF(ISBLANK(F60),"-",(F60/$D$50*$D$47*$B$68)*($B$57/$D$60))</f>
        <v>561.30829336974136</v>
      </c>
      <c r="H60" s="593">
        <f t="shared" ref="H60:H71" si="0">IF(ISBLANK(F60),"-",(G60/$B$56)*100)</f>
        <v>93.551382228290223</v>
      </c>
      <c r="L60" s="439"/>
    </row>
    <row r="61" spans="1:12" s="3" customFormat="1" ht="26.25" customHeight="1" x14ac:dyDescent="0.4">
      <c r="A61" s="451" t="s">
        <v>95</v>
      </c>
      <c r="B61" s="452">
        <v>50</v>
      </c>
      <c r="C61" s="695"/>
      <c r="D61" s="698"/>
      <c r="E61" s="511">
        <v>2</v>
      </c>
      <c r="F61" s="464">
        <v>3982284</v>
      </c>
      <c r="G61" s="576">
        <f>IF(ISBLANK(F61),"-",(F61/$D$50*$D$47*$B$68)*($B$57/$D$60))</f>
        <v>564.80053136274864</v>
      </c>
      <c r="H61" s="594">
        <f t="shared" si="0"/>
        <v>94.133421893791436</v>
      </c>
      <c r="L61" s="439"/>
    </row>
    <row r="62" spans="1:12" s="3" customFormat="1" ht="26.25" customHeight="1" x14ac:dyDescent="0.4">
      <c r="A62" s="451" t="s">
        <v>96</v>
      </c>
      <c r="B62" s="452">
        <v>1</v>
      </c>
      <c r="C62" s="695"/>
      <c r="D62" s="698"/>
      <c r="E62" s="511">
        <v>3</v>
      </c>
      <c r="F62" s="512">
        <v>4002836</v>
      </c>
      <c r="G62" s="576">
        <f>IF(ISBLANK(F62),"-",(F62/$D$50*$D$47*$B$68)*($B$57/$D$60))</f>
        <v>567.7153863857875</v>
      </c>
      <c r="H62" s="594">
        <f t="shared" si="0"/>
        <v>94.619231064297921</v>
      </c>
      <c r="L62" s="439"/>
    </row>
    <row r="63" spans="1:12" ht="27" customHeight="1" x14ac:dyDescent="0.4">
      <c r="A63" s="451" t="s">
        <v>97</v>
      </c>
      <c r="B63" s="452">
        <v>1</v>
      </c>
      <c r="C63" s="696"/>
      <c r="D63" s="699"/>
      <c r="E63" s="513">
        <v>4</v>
      </c>
      <c r="F63" s="514"/>
      <c r="G63" s="576" t="str">
        <f>IF(ISBLANK(F63),"-",(F63/$D$50*$D$47*$B$68)*($B$57/$D$60))</f>
        <v>-</v>
      </c>
      <c r="H63" s="594" t="str">
        <f t="shared" si="0"/>
        <v>-</v>
      </c>
    </row>
    <row r="64" spans="1:12" ht="26.25" customHeight="1" x14ac:dyDescent="0.4">
      <c r="A64" s="451" t="s">
        <v>98</v>
      </c>
      <c r="B64" s="452">
        <v>1</v>
      </c>
      <c r="C64" s="694" t="s">
        <v>99</v>
      </c>
      <c r="D64" s="697">
        <v>1904.52</v>
      </c>
      <c r="E64" s="509">
        <v>1</v>
      </c>
      <c r="F64" s="510">
        <v>3988361</v>
      </c>
      <c r="G64" s="575">
        <f>IF(ISBLANK(F64),"-",(F64/$D$50*$D$47*$B$68)*($B$57/$D$64))</f>
        <v>559.71627183687758</v>
      </c>
      <c r="H64" s="593">
        <f t="shared" si="0"/>
        <v>93.286045306146264</v>
      </c>
    </row>
    <row r="65" spans="1:8" ht="26.25" customHeight="1" x14ac:dyDescent="0.4">
      <c r="A65" s="451" t="s">
        <v>100</v>
      </c>
      <c r="B65" s="452">
        <v>1</v>
      </c>
      <c r="C65" s="695"/>
      <c r="D65" s="698"/>
      <c r="E65" s="511">
        <v>2</v>
      </c>
      <c r="F65" s="464">
        <v>4035541</v>
      </c>
      <c r="G65" s="576">
        <f>IF(ISBLANK(F65),"-",(F65/$D$50*$D$47*$B$68)*($B$57/$D$64))</f>
        <v>566.33739106486735</v>
      </c>
      <c r="H65" s="594">
        <f t="shared" si="0"/>
        <v>94.389565177477891</v>
      </c>
    </row>
    <row r="66" spans="1:8" ht="26.25" customHeight="1" x14ac:dyDescent="0.4">
      <c r="A66" s="451" t="s">
        <v>101</v>
      </c>
      <c r="B66" s="452">
        <v>1</v>
      </c>
      <c r="C66" s="695"/>
      <c r="D66" s="698"/>
      <c r="E66" s="511">
        <v>3</v>
      </c>
      <c r="F66" s="464">
        <v>3949685</v>
      </c>
      <c r="G66" s="576">
        <f>IF(ISBLANK(F66),"-",(F66/$D$50*$D$47*$B$68)*($B$57/$D$64))</f>
        <v>554.28858198393732</v>
      </c>
      <c r="H66" s="594">
        <f t="shared" si="0"/>
        <v>92.381430330656229</v>
      </c>
    </row>
    <row r="67" spans="1:8" ht="27" customHeight="1" x14ac:dyDescent="0.4">
      <c r="A67" s="451" t="s">
        <v>102</v>
      </c>
      <c r="B67" s="452">
        <v>1</v>
      </c>
      <c r="C67" s="696"/>
      <c r="D67" s="699"/>
      <c r="E67" s="513">
        <v>4</v>
      </c>
      <c r="F67" s="514"/>
      <c r="G67" s="592" t="str">
        <f>IF(ISBLANK(F67),"-",(F67/$D$50*$D$47*$B$68)*($B$57/$D$64))</f>
        <v>-</v>
      </c>
      <c r="H67" s="595" t="str">
        <f t="shared" si="0"/>
        <v>-</v>
      </c>
    </row>
    <row r="68" spans="1:8" ht="26.25" customHeight="1" x14ac:dyDescent="0.4">
      <c r="A68" s="451" t="s">
        <v>103</v>
      </c>
      <c r="B68" s="515">
        <f>(B67/B66)*(B65/B64)*(B63/B62)*(B61/B60)*B59</f>
        <v>2500</v>
      </c>
      <c r="C68" s="694" t="s">
        <v>104</v>
      </c>
      <c r="D68" s="697">
        <v>1896.7</v>
      </c>
      <c r="E68" s="509">
        <v>1</v>
      </c>
      <c r="F68" s="510">
        <v>4029384</v>
      </c>
      <c r="G68" s="575">
        <f>IF(ISBLANK(F68),"-",(F68/$D$50*$D$47*$B$68)*($B$57/$D$68))</f>
        <v>567.80475210214536</v>
      </c>
      <c r="H68" s="594">
        <f t="shared" si="0"/>
        <v>94.63412535035755</v>
      </c>
    </row>
    <row r="69" spans="1:8" ht="27" customHeight="1" x14ac:dyDescent="0.4">
      <c r="A69" s="499" t="s">
        <v>105</v>
      </c>
      <c r="B69" s="516">
        <f>(D47*B68)/B56*B57</f>
        <v>1896.7379999999998</v>
      </c>
      <c r="C69" s="695"/>
      <c r="D69" s="698"/>
      <c r="E69" s="511">
        <v>2</v>
      </c>
      <c r="F69" s="464">
        <v>4042841</v>
      </c>
      <c r="G69" s="576">
        <f>IF(ISBLANK(F69),"-",(F69/$D$50*$D$47*$B$68)*($B$57/$D$68))</f>
        <v>569.70105896915993</v>
      </c>
      <c r="H69" s="594">
        <f t="shared" si="0"/>
        <v>94.950176494859988</v>
      </c>
    </row>
    <row r="70" spans="1:8" ht="26.25" customHeight="1" x14ac:dyDescent="0.4">
      <c r="A70" s="707" t="s">
        <v>78</v>
      </c>
      <c r="B70" s="708"/>
      <c r="C70" s="695"/>
      <c r="D70" s="698"/>
      <c r="E70" s="511">
        <v>3</v>
      </c>
      <c r="F70" s="464">
        <v>4046257</v>
      </c>
      <c r="G70" s="576">
        <f>IF(ISBLANK(F70),"-",(F70/$D$50*$D$47*$B$68)*($B$57/$D$68))</f>
        <v>570.18242808989419</v>
      </c>
      <c r="H70" s="594">
        <f t="shared" si="0"/>
        <v>95.030404681649031</v>
      </c>
    </row>
    <row r="71" spans="1:8" ht="27" customHeight="1" x14ac:dyDescent="0.4">
      <c r="A71" s="709"/>
      <c r="B71" s="710"/>
      <c r="C71" s="706"/>
      <c r="D71" s="699"/>
      <c r="E71" s="513">
        <v>4</v>
      </c>
      <c r="F71" s="514"/>
      <c r="G71" s="592" t="str">
        <f>IF(ISBLANK(F71),"-",(F71/$D$50*$D$47*$B$68)*($B$57/$D$68))</f>
        <v>-</v>
      </c>
      <c r="H71" s="595" t="str">
        <f t="shared" si="0"/>
        <v>-</v>
      </c>
    </row>
    <row r="72" spans="1:8" ht="26.25" customHeight="1" x14ac:dyDescent="0.4">
      <c r="A72" s="517"/>
      <c r="B72" s="517"/>
      <c r="C72" s="517"/>
      <c r="D72" s="517"/>
      <c r="E72" s="517"/>
      <c r="F72" s="519" t="s">
        <v>71</v>
      </c>
      <c r="G72" s="581">
        <f>AVERAGE(G60:G71)</f>
        <v>564.65052168501779</v>
      </c>
      <c r="H72" s="596">
        <f>AVERAGE(H60:H71)</f>
        <v>94.10842028083627</v>
      </c>
    </row>
    <row r="73" spans="1:8" ht="26.25" customHeight="1" x14ac:dyDescent="0.4">
      <c r="C73" s="517"/>
      <c r="D73" s="517"/>
      <c r="E73" s="517"/>
      <c r="F73" s="520" t="s">
        <v>84</v>
      </c>
      <c r="G73" s="580">
        <f>STDEV(G60:G71)/G72</f>
        <v>9.3126935531266161E-3</v>
      </c>
      <c r="H73" s="580">
        <f>STDEV(H60:H71)/H72</f>
        <v>9.3126935531265918E-3</v>
      </c>
    </row>
    <row r="74" spans="1:8" ht="27" customHeight="1" x14ac:dyDescent="0.4">
      <c r="A74" s="517"/>
      <c r="B74" s="517"/>
      <c r="C74" s="518"/>
      <c r="D74" s="518"/>
      <c r="E74" s="521"/>
      <c r="F74" s="522" t="s">
        <v>20</v>
      </c>
      <c r="G74" s="523">
        <f>COUNT(G60:G71)</f>
        <v>9</v>
      </c>
      <c r="H74" s="523">
        <f>COUNT(H60:H71)</f>
        <v>9</v>
      </c>
    </row>
    <row r="76" spans="1:8" ht="26.25" customHeight="1" x14ac:dyDescent="0.4">
      <c r="A76" s="435" t="s">
        <v>106</v>
      </c>
      <c r="B76" s="524" t="s">
        <v>107</v>
      </c>
      <c r="C76" s="702" t="str">
        <f>B26</f>
        <v>EFAVIRENZ</v>
      </c>
      <c r="D76" s="702"/>
      <c r="E76" s="525" t="s">
        <v>108</v>
      </c>
      <c r="F76" s="525"/>
      <c r="G76" s="612">
        <f>H72</f>
        <v>94.10842028083627</v>
      </c>
      <c r="H76" s="527"/>
    </row>
    <row r="77" spans="1:8" ht="18.75" x14ac:dyDescent="0.3">
      <c r="A77" s="434" t="s">
        <v>109</v>
      </c>
      <c r="B77" s="434" t="s">
        <v>110</v>
      </c>
    </row>
    <row r="78" spans="1:8" ht="18.75" x14ac:dyDescent="0.3">
      <c r="A78" s="434"/>
      <c r="B78" s="434"/>
    </row>
    <row r="79" spans="1:8" ht="26.25" customHeight="1" x14ac:dyDescent="0.4">
      <c r="A79" s="435" t="s">
        <v>4</v>
      </c>
      <c r="B79" s="688" t="str">
        <f>B26</f>
        <v>EFAVIRENZ</v>
      </c>
      <c r="C79" s="688"/>
    </row>
    <row r="80" spans="1:8" ht="26.25" customHeight="1" x14ac:dyDescent="0.4">
      <c r="A80" s="436" t="s">
        <v>48</v>
      </c>
      <c r="B80" s="688" t="str">
        <f>B27</f>
        <v>E15-6</v>
      </c>
      <c r="C80" s="688"/>
    </row>
    <row r="81" spans="1:12" ht="27" customHeight="1" x14ac:dyDescent="0.4">
      <c r="A81" s="436" t="s">
        <v>6</v>
      </c>
      <c r="B81" s="528">
        <f>B28</f>
        <v>97.21</v>
      </c>
    </row>
    <row r="82" spans="1:12" s="3" customFormat="1" ht="27" customHeight="1" x14ac:dyDescent="0.4">
      <c r="A82" s="436" t="s">
        <v>49</v>
      </c>
      <c r="B82" s="438">
        <v>0</v>
      </c>
      <c r="C82" s="679" t="s">
        <v>50</v>
      </c>
      <c r="D82" s="680"/>
      <c r="E82" s="680"/>
      <c r="F82" s="680"/>
      <c r="G82" s="681"/>
      <c r="I82" s="439"/>
      <c r="J82" s="439"/>
      <c r="K82" s="439"/>
      <c r="L82" s="439"/>
    </row>
    <row r="83" spans="1:12" s="3" customFormat="1" ht="19.5" customHeight="1" x14ac:dyDescent="0.3">
      <c r="A83" s="436" t="s">
        <v>51</v>
      </c>
      <c r="B83" s="440">
        <f>B81-B82</f>
        <v>97.21</v>
      </c>
      <c r="C83" s="441"/>
      <c r="D83" s="441"/>
      <c r="E83" s="441"/>
      <c r="F83" s="441"/>
      <c r="G83" s="442"/>
      <c r="I83" s="439"/>
      <c r="J83" s="439"/>
      <c r="K83" s="439"/>
      <c r="L83" s="439"/>
    </row>
    <row r="84" spans="1:12" s="3" customFormat="1" ht="27" customHeight="1" x14ac:dyDescent="0.4">
      <c r="A84" s="436" t="s">
        <v>52</v>
      </c>
      <c r="B84" s="443">
        <v>1</v>
      </c>
      <c r="C84" s="682" t="s">
        <v>111</v>
      </c>
      <c r="D84" s="683"/>
      <c r="E84" s="683"/>
      <c r="F84" s="683"/>
      <c r="G84" s="683"/>
      <c r="H84" s="684"/>
      <c r="I84" s="439"/>
      <c r="J84" s="439"/>
      <c r="K84" s="439"/>
      <c r="L84" s="439"/>
    </row>
    <row r="85" spans="1:12" s="3" customFormat="1" ht="27" customHeight="1" x14ac:dyDescent="0.4">
      <c r="A85" s="436" t="s">
        <v>54</v>
      </c>
      <c r="B85" s="443">
        <v>1</v>
      </c>
      <c r="C85" s="682" t="s">
        <v>112</v>
      </c>
      <c r="D85" s="683"/>
      <c r="E85" s="683"/>
      <c r="F85" s="683"/>
      <c r="G85" s="683"/>
      <c r="H85" s="684"/>
      <c r="I85" s="439"/>
      <c r="J85" s="439"/>
      <c r="K85" s="439"/>
      <c r="L85" s="439"/>
    </row>
    <row r="86" spans="1:12" s="3" customFormat="1" ht="18.75" x14ac:dyDescent="0.3">
      <c r="A86" s="436"/>
      <c r="B86" s="446"/>
      <c r="C86" s="447"/>
      <c r="D86" s="447"/>
      <c r="E86" s="447"/>
      <c r="F86" s="447"/>
      <c r="G86" s="447"/>
      <c r="H86" s="447"/>
      <c r="I86" s="439"/>
      <c r="J86" s="439"/>
      <c r="K86" s="439"/>
      <c r="L86" s="439"/>
    </row>
    <row r="87" spans="1:12" s="3" customFormat="1" ht="18.75" x14ac:dyDescent="0.3">
      <c r="A87" s="436" t="s">
        <v>56</v>
      </c>
      <c r="B87" s="448">
        <f>B84/B85</f>
        <v>1</v>
      </c>
      <c r="C87" s="426" t="s">
        <v>57</v>
      </c>
      <c r="D87" s="426"/>
      <c r="E87" s="426"/>
      <c r="F87" s="426"/>
      <c r="G87" s="426"/>
      <c r="I87" s="439"/>
      <c r="J87" s="439"/>
      <c r="K87" s="439"/>
      <c r="L87" s="439"/>
    </row>
    <row r="88" spans="1:12" ht="19.5" customHeight="1" x14ac:dyDescent="0.3">
      <c r="A88" s="434"/>
      <c r="B88" s="434"/>
    </row>
    <row r="89" spans="1:12" ht="27" customHeight="1" x14ac:dyDescent="0.4">
      <c r="A89" s="449" t="s">
        <v>58</v>
      </c>
      <c r="B89" s="450">
        <v>50</v>
      </c>
      <c r="D89" s="529" t="s">
        <v>59</v>
      </c>
      <c r="E89" s="530"/>
      <c r="F89" s="685" t="s">
        <v>60</v>
      </c>
      <c r="G89" s="687"/>
    </row>
    <row r="90" spans="1:12" ht="27" customHeight="1" x14ac:dyDescent="0.4">
      <c r="A90" s="451" t="s">
        <v>61</v>
      </c>
      <c r="B90" s="452">
        <v>1</v>
      </c>
      <c r="C90" s="531" t="s">
        <v>62</v>
      </c>
      <c r="D90" s="454" t="s">
        <v>63</v>
      </c>
      <c r="E90" s="455" t="s">
        <v>64</v>
      </c>
      <c r="F90" s="454" t="s">
        <v>63</v>
      </c>
      <c r="G90" s="532" t="s">
        <v>64</v>
      </c>
      <c r="I90" s="457" t="s">
        <v>65</v>
      </c>
    </row>
    <row r="91" spans="1:12" ht="26.25" customHeight="1" x14ac:dyDescent="0.4">
      <c r="A91" s="451" t="s">
        <v>66</v>
      </c>
      <c r="B91" s="452">
        <v>1</v>
      </c>
      <c r="C91" s="533">
        <v>1</v>
      </c>
      <c r="D91" s="459">
        <v>2093756</v>
      </c>
      <c r="E91" s="460">
        <f>IF(ISBLANK(D91),"-",$D$101/$D$98*D91)</f>
        <v>2269597.8603891567</v>
      </c>
      <c r="F91" s="459">
        <v>2167442</v>
      </c>
      <c r="G91" s="461">
        <f>IF(ISBLANK(F91),"-",$D$101/$F$98*F91)</f>
        <v>2245366.7805074779</v>
      </c>
      <c r="I91" s="462"/>
    </row>
    <row r="92" spans="1:12" ht="26.25" customHeight="1" x14ac:dyDescent="0.4">
      <c r="A92" s="451" t="s">
        <v>67</v>
      </c>
      <c r="B92" s="452">
        <v>1</v>
      </c>
      <c r="C92" s="518">
        <v>2</v>
      </c>
      <c r="D92" s="464">
        <v>2095309</v>
      </c>
      <c r="E92" s="465">
        <f>IF(ISBLANK(D92),"-",$D$101/$D$98*D92)</f>
        <v>2271281.2874347079</v>
      </c>
      <c r="F92" s="464">
        <v>2167529</v>
      </c>
      <c r="G92" s="466">
        <f>IF(ISBLANK(F92),"-",$D$101/$F$98*F92)</f>
        <v>2245456.9083678331</v>
      </c>
      <c r="I92" s="689">
        <f>ABS((F96/D96*D95)-F95)/D95</f>
        <v>1.2160740467381385E-2</v>
      </c>
    </row>
    <row r="93" spans="1:12" ht="26.25" customHeight="1" x14ac:dyDescent="0.4">
      <c r="A93" s="451" t="s">
        <v>68</v>
      </c>
      <c r="B93" s="452">
        <v>1</v>
      </c>
      <c r="C93" s="518">
        <v>3</v>
      </c>
      <c r="D93" s="464">
        <v>2095987</v>
      </c>
      <c r="E93" s="465">
        <f>IF(ISBLANK(D93),"-",$D$101/$D$98*D93)</f>
        <v>2272016.2285402347</v>
      </c>
      <c r="F93" s="464">
        <v>2165054</v>
      </c>
      <c r="G93" s="466">
        <f>IF(ISBLANK(F93),"-",$D$101/$F$98*F93)</f>
        <v>2242892.9261335884</v>
      </c>
      <c r="I93" s="689"/>
    </row>
    <row r="94" spans="1:12" ht="27" customHeight="1" x14ac:dyDescent="0.4">
      <c r="A94" s="451" t="s">
        <v>69</v>
      </c>
      <c r="B94" s="452">
        <v>1</v>
      </c>
      <c r="C94" s="534">
        <v>4</v>
      </c>
      <c r="D94" s="469"/>
      <c r="E94" s="470" t="str">
        <f>IF(ISBLANK(D94),"-",$D$101/$D$98*D94)</f>
        <v>-</v>
      </c>
      <c r="F94" s="535"/>
      <c r="G94" s="471" t="str">
        <f>IF(ISBLANK(F94),"-",$D$101/$F$98*F94)</f>
        <v>-</v>
      </c>
      <c r="I94" s="472"/>
    </row>
    <row r="95" spans="1:12" ht="27" customHeight="1" x14ac:dyDescent="0.4">
      <c r="A95" s="451" t="s">
        <v>70</v>
      </c>
      <c r="B95" s="452">
        <v>1</v>
      </c>
      <c r="C95" s="536" t="s">
        <v>71</v>
      </c>
      <c r="D95" s="537">
        <f>AVERAGE(D91:D94)</f>
        <v>2095017.3333333333</v>
      </c>
      <c r="E95" s="475">
        <f>AVERAGE(E91:E94)</f>
        <v>2270965.1254546996</v>
      </c>
      <c r="F95" s="538">
        <f>AVERAGE(F91:F94)</f>
        <v>2166675</v>
      </c>
      <c r="G95" s="539">
        <f>AVERAGE(G91:G94)</f>
        <v>2244572.2050029668</v>
      </c>
    </row>
    <row r="96" spans="1:12" ht="26.25" customHeight="1" x14ac:dyDescent="0.4">
      <c r="A96" s="451" t="s">
        <v>72</v>
      </c>
      <c r="B96" s="437">
        <v>1</v>
      </c>
      <c r="C96" s="540" t="s">
        <v>113</v>
      </c>
      <c r="D96" s="541">
        <v>28.47</v>
      </c>
      <c r="E96" s="467"/>
      <c r="F96" s="479">
        <v>29.79</v>
      </c>
    </row>
    <row r="97" spans="1:10" ht="26.25" customHeight="1" x14ac:dyDescent="0.4">
      <c r="A97" s="451" t="s">
        <v>74</v>
      </c>
      <c r="B97" s="437">
        <v>1</v>
      </c>
      <c r="C97" s="542" t="s">
        <v>114</v>
      </c>
      <c r="D97" s="543">
        <f>D96*$B$87</f>
        <v>28.47</v>
      </c>
      <c r="E97" s="482"/>
      <c r="F97" s="481">
        <f>F96*$B$87</f>
        <v>29.79</v>
      </c>
    </row>
    <row r="98" spans="1:10" ht="19.5" customHeight="1" x14ac:dyDescent="0.3">
      <c r="A98" s="451" t="s">
        <v>76</v>
      </c>
      <c r="B98" s="544">
        <f>(B97/B96)*(B95/B94)*(B93/B92)*(B91/B90)*B89</f>
        <v>50</v>
      </c>
      <c r="C98" s="542" t="s">
        <v>115</v>
      </c>
      <c r="D98" s="545">
        <f>D97*$B$83/100</f>
        <v>27.675686999999996</v>
      </c>
      <c r="E98" s="485"/>
      <c r="F98" s="484">
        <f>F97*$B$83/100</f>
        <v>28.958858999999997</v>
      </c>
    </row>
    <row r="99" spans="1:10" ht="19.5" customHeight="1" x14ac:dyDescent="0.3">
      <c r="A99" s="690" t="s">
        <v>78</v>
      </c>
      <c r="B99" s="704"/>
      <c r="C99" s="542" t="s">
        <v>116</v>
      </c>
      <c r="D99" s="546">
        <f>D98/$B$98</f>
        <v>0.55351373999999998</v>
      </c>
      <c r="E99" s="485"/>
      <c r="F99" s="488">
        <f>F98/$B$98</f>
        <v>0.57917717999999996</v>
      </c>
      <c r="G99" s="547"/>
      <c r="H99" s="477"/>
    </row>
    <row r="100" spans="1:10" ht="19.5" customHeight="1" x14ac:dyDescent="0.3">
      <c r="A100" s="692"/>
      <c r="B100" s="705"/>
      <c r="C100" s="542" t="s">
        <v>80</v>
      </c>
      <c r="D100" s="548">
        <f>$B$56/$B$116</f>
        <v>0.6</v>
      </c>
      <c r="F100" s="493"/>
      <c r="G100" s="549"/>
      <c r="H100" s="477"/>
    </row>
    <row r="101" spans="1:10" ht="18.75" x14ac:dyDescent="0.3">
      <c r="C101" s="542" t="s">
        <v>81</v>
      </c>
      <c r="D101" s="543">
        <f>D100*$B$98</f>
        <v>30</v>
      </c>
      <c r="F101" s="493"/>
      <c r="G101" s="547"/>
      <c r="H101" s="477"/>
    </row>
    <row r="102" spans="1:10" ht="19.5" customHeight="1" x14ac:dyDescent="0.3">
      <c r="C102" s="550" t="s">
        <v>82</v>
      </c>
      <c r="D102" s="551">
        <f>D101/B34</f>
        <v>30</v>
      </c>
      <c r="F102" s="497"/>
      <c r="G102" s="547"/>
      <c r="H102" s="477"/>
      <c r="J102" s="552"/>
    </row>
    <row r="103" spans="1:10" ht="18.75" x14ac:dyDescent="0.3">
      <c r="C103" s="553" t="s">
        <v>117</v>
      </c>
      <c r="D103" s="554">
        <f>AVERAGE(E91:E94,G91:G94)</f>
        <v>2257768.665228833</v>
      </c>
      <c r="F103" s="497"/>
      <c r="G103" s="555"/>
      <c r="H103" s="477"/>
      <c r="J103" s="556"/>
    </row>
    <row r="104" spans="1:10" ht="18.75" x14ac:dyDescent="0.3">
      <c r="C104" s="520" t="s">
        <v>84</v>
      </c>
      <c r="D104" s="557">
        <f>STDEV(E91:E94,G91:G94)/D103</f>
        <v>6.4251333354940947E-3</v>
      </c>
      <c r="F104" s="497"/>
      <c r="G104" s="547"/>
      <c r="H104" s="477"/>
      <c r="J104" s="556"/>
    </row>
    <row r="105" spans="1:10" ht="19.5" customHeight="1" x14ac:dyDescent="0.3">
      <c r="C105" s="522" t="s">
        <v>20</v>
      </c>
      <c r="D105" s="558">
        <f>COUNT(E91:E94,G91:G94)</f>
        <v>6</v>
      </c>
      <c r="F105" s="497"/>
      <c r="G105" s="547"/>
      <c r="H105" s="477"/>
      <c r="J105" s="556"/>
    </row>
    <row r="106" spans="1:10" ht="19.5" customHeight="1" x14ac:dyDescent="0.3">
      <c r="A106" s="501"/>
      <c r="B106" s="501"/>
      <c r="C106" s="501"/>
      <c r="D106" s="501"/>
      <c r="E106" s="501"/>
    </row>
    <row r="107" spans="1:10" ht="27" customHeight="1" x14ac:dyDescent="0.4">
      <c r="A107" s="449" t="s">
        <v>118</v>
      </c>
      <c r="B107" s="450">
        <v>1000</v>
      </c>
      <c r="C107" s="597" t="s">
        <v>119</v>
      </c>
      <c r="D107" s="597" t="s">
        <v>63</v>
      </c>
      <c r="E107" s="597" t="s">
        <v>120</v>
      </c>
      <c r="F107" s="559" t="s">
        <v>121</v>
      </c>
    </row>
    <row r="108" spans="1:10" ht="26.25" customHeight="1" x14ac:dyDescent="0.4">
      <c r="A108" s="451" t="s">
        <v>122</v>
      </c>
      <c r="B108" s="452">
        <v>1</v>
      </c>
      <c r="C108" s="602">
        <v>1</v>
      </c>
      <c r="D108" s="603">
        <v>2143138</v>
      </c>
      <c r="E108" s="577">
        <f t="shared" ref="E108:E113" si="1">IF(ISBLANK(D108),"-",D108/$D$103*$D$100*$B$116)</f>
        <v>569.53700341556953</v>
      </c>
      <c r="F108" s="604">
        <f t="shared" ref="F108:F113" si="2">IF(ISBLANK(D108), "-", (E108/$B$56)*100)</f>
        <v>94.922833902594917</v>
      </c>
    </row>
    <row r="109" spans="1:10" ht="26.25" customHeight="1" x14ac:dyDescent="0.4">
      <c r="A109" s="451" t="s">
        <v>95</v>
      </c>
      <c r="B109" s="452">
        <v>1</v>
      </c>
      <c r="C109" s="598">
        <v>2</v>
      </c>
      <c r="D109" s="600">
        <v>2135308</v>
      </c>
      <c r="E109" s="578">
        <f t="shared" si="1"/>
        <v>567.45618793063863</v>
      </c>
      <c r="F109" s="605">
        <f t="shared" si="2"/>
        <v>94.576031321773101</v>
      </c>
    </row>
    <row r="110" spans="1:10" ht="26.25" customHeight="1" x14ac:dyDescent="0.4">
      <c r="A110" s="451" t="s">
        <v>96</v>
      </c>
      <c r="B110" s="452">
        <v>1</v>
      </c>
      <c r="C110" s="598">
        <v>3</v>
      </c>
      <c r="D110" s="600">
        <v>2117799</v>
      </c>
      <c r="E110" s="578">
        <f t="shared" si="1"/>
        <v>562.80318686733654</v>
      </c>
      <c r="F110" s="605">
        <f t="shared" si="2"/>
        <v>93.800531144556089</v>
      </c>
    </row>
    <row r="111" spans="1:10" ht="26.25" customHeight="1" x14ac:dyDescent="0.4">
      <c r="A111" s="451" t="s">
        <v>97</v>
      </c>
      <c r="B111" s="452">
        <v>1</v>
      </c>
      <c r="C111" s="598">
        <v>4</v>
      </c>
      <c r="D111" s="600">
        <v>2149538</v>
      </c>
      <c r="E111" s="578">
        <f t="shared" si="1"/>
        <v>571.23779768166889</v>
      </c>
      <c r="F111" s="605">
        <f t="shared" si="2"/>
        <v>95.206299613611478</v>
      </c>
    </row>
    <row r="112" spans="1:10" ht="26.25" customHeight="1" x14ac:dyDescent="0.4">
      <c r="A112" s="451" t="s">
        <v>98</v>
      </c>
      <c r="B112" s="452">
        <v>1</v>
      </c>
      <c r="C112" s="598">
        <v>5</v>
      </c>
      <c r="D112" s="600">
        <v>2118777</v>
      </c>
      <c r="E112" s="578">
        <f t="shared" si="1"/>
        <v>563.06308949112486</v>
      </c>
      <c r="F112" s="605">
        <f t="shared" si="2"/>
        <v>93.843848248520814</v>
      </c>
    </row>
    <row r="113" spans="1:10" ht="27" customHeight="1" x14ac:dyDescent="0.4">
      <c r="A113" s="451" t="s">
        <v>100</v>
      </c>
      <c r="B113" s="452">
        <v>1</v>
      </c>
      <c r="C113" s="599">
        <v>6</v>
      </c>
      <c r="D113" s="601">
        <v>2129684</v>
      </c>
      <c r="E113" s="579">
        <f t="shared" si="1"/>
        <v>565.96161496930381</v>
      </c>
      <c r="F113" s="606">
        <f t="shared" si="2"/>
        <v>94.326935828217302</v>
      </c>
    </row>
    <row r="114" spans="1:10" ht="27" customHeight="1" x14ac:dyDescent="0.4">
      <c r="A114" s="451" t="s">
        <v>101</v>
      </c>
      <c r="B114" s="452">
        <v>1</v>
      </c>
      <c r="C114" s="560"/>
      <c r="D114" s="518"/>
      <c r="E114" s="425"/>
      <c r="F114" s="607"/>
    </row>
    <row r="115" spans="1:10" ht="26.25" customHeight="1" x14ac:dyDescent="0.4">
      <c r="A115" s="451" t="s">
        <v>102</v>
      </c>
      <c r="B115" s="452">
        <v>1</v>
      </c>
      <c r="C115" s="560"/>
      <c r="D115" s="584" t="s">
        <v>71</v>
      </c>
      <c r="E115" s="586">
        <f>AVERAGE(E108:E113)</f>
        <v>566.67648005927367</v>
      </c>
      <c r="F115" s="608">
        <f>AVERAGE(F108:F113)</f>
        <v>94.446080009878941</v>
      </c>
    </row>
    <row r="116" spans="1:10" ht="27" customHeight="1" x14ac:dyDescent="0.4">
      <c r="A116" s="451" t="s">
        <v>103</v>
      </c>
      <c r="B116" s="483">
        <f>(B115/B114)*(B113/B112)*(B111/B110)*(B109/B108)*B107</f>
        <v>1000</v>
      </c>
      <c r="C116" s="561"/>
      <c r="D116" s="585" t="s">
        <v>84</v>
      </c>
      <c r="E116" s="583">
        <f>STDEV(E108:E113)/E115</f>
        <v>6.0188716593483254E-3</v>
      </c>
      <c r="F116" s="562">
        <f>STDEV(F108:F113)/F115</f>
        <v>6.0188716593482907E-3</v>
      </c>
      <c r="I116" s="425"/>
    </row>
    <row r="117" spans="1:10" ht="27" customHeight="1" x14ac:dyDescent="0.4">
      <c r="A117" s="690" t="s">
        <v>78</v>
      </c>
      <c r="B117" s="691"/>
      <c r="C117" s="563"/>
      <c r="D117" s="522" t="s">
        <v>20</v>
      </c>
      <c r="E117" s="588">
        <f>COUNT(E108:E113)</f>
        <v>6</v>
      </c>
      <c r="F117" s="589">
        <f>COUNT(F108:F113)</f>
        <v>6</v>
      </c>
      <c r="I117" s="425"/>
      <c r="J117" s="556"/>
    </row>
    <row r="118" spans="1:10" ht="26.25" customHeight="1" x14ac:dyDescent="0.3">
      <c r="A118" s="692"/>
      <c r="B118" s="693"/>
      <c r="C118" s="425"/>
      <c r="D118" s="587"/>
      <c r="E118" s="670" t="s">
        <v>123</v>
      </c>
      <c r="F118" s="671"/>
      <c r="G118" s="425"/>
      <c r="H118" s="425"/>
      <c r="I118" s="425"/>
    </row>
    <row r="119" spans="1:10" ht="25.5" customHeight="1" x14ac:dyDescent="0.4">
      <c r="A119" s="572"/>
      <c r="B119" s="447"/>
      <c r="C119" s="425"/>
      <c r="D119" s="585" t="s">
        <v>124</v>
      </c>
      <c r="E119" s="590">
        <f>MIN(E108:E113)</f>
        <v>562.80318686733654</v>
      </c>
      <c r="F119" s="609">
        <f>MIN(F108:F113)</f>
        <v>93.800531144556089</v>
      </c>
      <c r="G119" s="425"/>
      <c r="H119" s="425"/>
      <c r="I119" s="425"/>
    </row>
    <row r="120" spans="1:10" ht="24" customHeight="1" x14ac:dyDescent="0.4">
      <c r="A120" s="572"/>
      <c r="B120" s="447"/>
      <c r="C120" s="425"/>
      <c r="D120" s="494" t="s">
        <v>125</v>
      </c>
      <c r="E120" s="591">
        <f>MAX(E108:E113)</f>
        <v>571.23779768166889</v>
      </c>
      <c r="F120" s="610">
        <f>MAX(F108:F113)</f>
        <v>95.206299613611478</v>
      </c>
      <c r="G120" s="425"/>
      <c r="H120" s="425"/>
      <c r="I120" s="425"/>
    </row>
    <row r="121" spans="1:10" ht="27" customHeight="1" x14ac:dyDescent="0.3">
      <c r="A121" s="572"/>
      <c r="B121" s="447"/>
      <c r="C121" s="425"/>
      <c r="D121" s="425"/>
      <c r="E121" s="425"/>
      <c r="F121" s="518"/>
      <c r="G121" s="425"/>
      <c r="H121" s="425"/>
      <c r="I121" s="425"/>
    </row>
    <row r="122" spans="1:10" ht="25.5" customHeight="1" x14ac:dyDescent="0.3">
      <c r="A122" s="572"/>
      <c r="B122" s="447"/>
      <c r="C122" s="425"/>
      <c r="D122" s="425"/>
      <c r="E122" s="425"/>
      <c r="F122" s="518"/>
      <c r="G122" s="425"/>
      <c r="H122" s="425"/>
      <c r="I122" s="425"/>
    </row>
    <row r="123" spans="1:10" ht="18.75" x14ac:dyDescent="0.3">
      <c r="A123" s="572"/>
      <c r="B123" s="447"/>
      <c r="C123" s="425"/>
      <c r="D123" s="425"/>
      <c r="E123" s="425"/>
      <c r="F123" s="518"/>
      <c r="G123" s="425"/>
      <c r="H123" s="425"/>
      <c r="I123" s="425"/>
    </row>
    <row r="124" spans="1:10" ht="45.75" customHeight="1" x14ac:dyDescent="0.65">
      <c r="A124" s="435" t="s">
        <v>106</v>
      </c>
      <c r="B124" s="524" t="s">
        <v>126</v>
      </c>
      <c r="C124" s="702" t="str">
        <f>B26</f>
        <v>EFAVIRENZ</v>
      </c>
      <c r="D124" s="702"/>
      <c r="E124" s="525" t="s">
        <v>127</v>
      </c>
      <c r="F124" s="525"/>
      <c r="G124" s="611">
        <f>F115</f>
        <v>94.446080009878941</v>
      </c>
      <c r="H124" s="425"/>
      <c r="I124" s="425"/>
    </row>
    <row r="125" spans="1:10" ht="45.75" customHeight="1" x14ac:dyDescent="0.65">
      <c r="A125" s="435"/>
      <c r="B125" s="524" t="s">
        <v>128</v>
      </c>
      <c r="C125" s="436" t="s">
        <v>129</v>
      </c>
      <c r="D125" s="611">
        <f>MIN(F108:F113)</f>
        <v>93.800531144556089</v>
      </c>
      <c r="E125" s="536" t="s">
        <v>130</v>
      </c>
      <c r="F125" s="611">
        <f>MAX(F108:F113)</f>
        <v>95.206299613611478</v>
      </c>
      <c r="G125" s="526"/>
      <c r="H125" s="425"/>
      <c r="I125" s="425"/>
    </row>
    <row r="126" spans="1:10" ht="19.5" customHeight="1" x14ac:dyDescent="0.3">
      <c r="A126" s="564"/>
      <c r="B126" s="564"/>
      <c r="C126" s="565"/>
      <c r="D126" s="565"/>
      <c r="E126" s="565"/>
      <c r="F126" s="565"/>
      <c r="G126" s="565"/>
      <c r="H126" s="565"/>
    </row>
    <row r="127" spans="1:10" ht="18.75" x14ac:dyDescent="0.3">
      <c r="B127" s="703" t="s">
        <v>26</v>
      </c>
      <c r="C127" s="703"/>
      <c r="E127" s="531" t="s">
        <v>27</v>
      </c>
      <c r="F127" s="566"/>
      <c r="G127" s="703" t="s">
        <v>28</v>
      </c>
      <c r="H127" s="703"/>
    </row>
    <row r="128" spans="1:10" ht="69.95" customHeight="1" x14ac:dyDescent="0.3">
      <c r="A128" s="567" t="s">
        <v>29</v>
      </c>
      <c r="B128" s="568"/>
      <c r="C128" s="568"/>
      <c r="E128" s="568"/>
      <c r="F128" s="425"/>
      <c r="G128" s="569"/>
      <c r="H128" s="569"/>
    </row>
    <row r="129" spans="1:9" ht="69.95" customHeight="1" x14ac:dyDescent="0.3">
      <c r="A129" s="567" t="s">
        <v>30</v>
      </c>
      <c r="B129" s="570"/>
      <c r="C129" s="570"/>
      <c r="E129" s="570"/>
      <c r="F129" s="425"/>
      <c r="G129" s="571"/>
      <c r="H129" s="571"/>
    </row>
    <row r="130" spans="1:9" ht="18.75" x14ac:dyDescent="0.3">
      <c r="A130" s="517"/>
      <c r="B130" s="517"/>
      <c r="C130" s="518"/>
      <c r="D130" s="518"/>
      <c r="E130" s="518"/>
      <c r="F130" s="521"/>
      <c r="G130" s="518"/>
      <c r="H130" s="518"/>
      <c r="I130" s="425"/>
    </row>
    <row r="131" spans="1:9" ht="18.75" x14ac:dyDescent="0.3">
      <c r="A131" s="517"/>
      <c r="B131" s="517"/>
      <c r="C131" s="518"/>
      <c r="D131" s="518"/>
      <c r="E131" s="518"/>
      <c r="F131" s="521"/>
      <c r="G131" s="518"/>
      <c r="H131" s="518"/>
      <c r="I131" s="425"/>
    </row>
    <row r="132" spans="1:9" ht="18.75" x14ac:dyDescent="0.3">
      <c r="A132" s="517"/>
      <c r="B132" s="517"/>
      <c r="C132" s="518"/>
      <c r="D132" s="518"/>
      <c r="E132" s="518"/>
      <c r="F132" s="521"/>
      <c r="G132" s="518"/>
      <c r="H132" s="518"/>
      <c r="I132" s="425"/>
    </row>
    <row r="133" spans="1:9" ht="18.75" x14ac:dyDescent="0.3">
      <c r="A133" s="517"/>
      <c r="B133" s="517"/>
      <c r="C133" s="518"/>
      <c r="D133" s="518"/>
      <c r="E133" s="518"/>
      <c r="F133" s="521"/>
      <c r="G133" s="518"/>
      <c r="H133" s="518"/>
      <c r="I133" s="425"/>
    </row>
    <row r="134" spans="1:9" ht="18.75" x14ac:dyDescent="0.3">
      <c r="A134" s="517"/>
      <c r="B134" s="517"/>
      <c r="C134" s="518"/>
      <c r="D134" s="518"/>
      <c r="E134" s="518"/>
      <c r="F134" s="521"/>
      <c r="G134" s="518"/>
      <c r="H134" s="518"/>
      <c r="I134" s="425"/>
    </row>
    <row r="135" spans="1:9" ht="18.75" x14ac:dyDescent="0.3">
      <c r="A135" s="517"/>
      <c r="B135" s="517"/>
      <c r="C135" s="518"/>
      <c r="D135" s="518"/>
      <c r="E135" s="518"/>
      <c r="F135" s="521"/>
      <c r="G135" s="518"/>
      <c r="H135" s="518"/>
      <c r="I135" s="425"/>
    </row>
    <row r="136" spans="1:9" ht="18.75" x14ac:dyDescent="0.3">
      <c r="A136" s="517"/>
      <c r="B136" s="517"/>
      <c r="C136" s="518"/>
      <c r="D136" s="518"/>
      <c r="E136" s="518"/>
      <c r="F136" s="521"/>
      <c r="G136" s="518"/>
      <c r="H136" s="518"/>
      <c r="I136" s="425"/>
    </row>
    <row r="137" spans="1:9" ht="18.75" x14ac:dyDescent="0.3">
      <c r="A137" s="517"/>
      <c r="B137" s="517"/>
      <c r="C137" s="518"/>
      <c r="D137" s="518"/>
      <c r="E137" s="518"/>
      <c r="F137" s="521"/>
      <c r="G137" s="518"/>
      <c r="H137" s="518"/>
      <c r="I137" s="425"/>
    </row>
    <row r="138" spans="1:9" ht="18.75" x14ac:dyDescent="0.3">
      <c r="A138" s="517"/>
      <c r="B138" s="517"/>
      <c r="C138" s="518"/>
      <c r="D138" s="518"/>
      <c r="E138" s="518"/>
      <c r="F138" s="521"/>
      <c r="G138" s="518"/>
      <c r="H138" s="518"/>
      <c r="I138" s="42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TDF</vt:lpstr>
      <vt:lpstr>SST Efavirenz</vt:lpstr>
      <vt:lpstr>Uniformity</vt:lpstr>
      <vt:lpstr>Tenofovir Disoproxil Fumarate</vt:lpstr>
      <vt:lpstr>Lamivudine</vt:lpstr>
      <vt:lpstr>Efavirenz</vt:lpstr>
      <vt:lpstr>Efavirenz!Print_Area</vt:lpstr>
      <vt:lpstr>Lamivudine!Print_Area</vt:lpstr>
      <vt:lpstr>'SST Efavirenz'!Print_Area</vt:lpstr>
      <vt:lpstr>'SST Lamivudine'!Print_Area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2017-10-05T07:15:20Z</cp:lastPrinted>
  <dcterms:created xsi:type="dcterms:W3CDTF">2005-07-05T10:19:27Z</dcterms:created>
  <dcterms:modified xsi:type="dcterms:W3CDTF">2017-10-05T07:15:45Z</dcterms:modified>
</cp:coreProperties>
</file>