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TDF" sheetId="10" r:id="rId1"/>
    <sheet name="SST Lamivudine" sheetId="9" r:id="rId2"/>
    <sheet name="SST Efavirenz" sheetId="11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Efavirenz'!$A$15:$H$61</definedName>
    <definedName name="_xlnm.Print_Area" localSheetId="1">'SST Lamivudine'!$A$15:$H$61</definedName>
    <definedName name="_xlnm.Print_Area" localSheetId="0">'SST TDF'!$A$15:$H$61</definedName>
    <definedName name="_xlnm.Print_Area" localSheetId="4">'Tenofovir Disoproxil Fumarate'!$A$1:$I$129</definedName>
    <definedName name="_xlnm.Print_Area" localSheetId="3">Uniformity!$A$12:$P$54</definedName>
  </definedNames>
  <calcPr calcId="145621"/>
</workbook>
</file>

<file path=xl/calcChain.xml><?xml version="1.0" encoding="utf-8"?>
<calcChain xmlns="http://schemas.openxmlformats.org/spreadsheetml/2006/main">
  <c r="B53" i="11" l="1"/>
  <c r="F51" i="11"/>
  <c r="E51" i="11"/>
  <c r="D51" i="11"/>
  <c r="C51" i="11"/>
  <c r="B51" i="11"/>
  <c r="B52" i="11" s="1"/>
  <c r="B32" i="11"/>
  <c r="F30" i="11"/>
  <c r="E30" i="11"/>
  <c r="D30" i="11"/>
  <c r="C30" i="11"/>
  <c r="B30" i="11"/>
  <c r="B31" i="11" s="1"/>
  <c r="B21" i="11"/>
  <c r="B53" i="10"/>
  <c r="B52" i="10"/>
  <c r="F51" i="10"/>
  <c r="E51" i="10"/>
  <c r="D51" i="10"/>
  <c r="C51" i="10"/>
  <c r="B51" i="10"/>
  <c r="B42" i="10"/>
  <c r="B32" i="10"/>
  <c r="B31" i="10"/>
  <c r="F30" i="10"/>
  <c r="E30" i="10"/>
  <c r="D30" i="10"/>
  <c r="C30" i="10"/>
  <c r="B30" i="10"/>
  <c r="B21" i="10"/>
  <c r="B53" i="9"/>
  <c r="E51" i="9"/>
  <c r="D51" i="9"/>
  <c r="C51" i="9"/>
  <c r="B51" i="9"/>
  <c r="B52" i="9" s="1"/>
  <c r="B42" i="9"/>
  <c r="B32" i="9"/>
  <c r="E30" i="9"/>
  <c r="D30" i="9"/>
  <c r="C30" i="9"/>
  <c r="B30" i="9"/>
  <c r="B31" i="9" s="1"/>
  <c r="B21" i="9"/>
  <c r="C124" i="5" l="1"/>
  <c r="B116" i="5"/>
  <c r="D100" i="5" s="1"/>
  <c r="B98" i="5"/>
  <c r="F95" i="5"/>
  <c r="D95" i="5"/>
  <c r="B87" i="5"/>
  <c r="F97" i="5" s="1"/>
  <c r="F98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50" i="2"/>
  <c r="C46" i="2"/>
  <c r="C45" i="2"/>
  <c r="D39" i="2"/>
  <c r="D34" i="2"/>
  <c r="D30" i="2"/>
  <c r="D29" i="2"/>
  <c r="D25" i="2"/>
  <c r="C19" i="2"/>
  <c r="I92" i="5" l="1"/>
  <c r="F99" i="5"/>
  <c r="D101" i="4"/>
  <c r="D102" i="4" s="1"/>
  <c r="I92" i="4"/>
  <c r="D97" i="4"/>
  <c r="D98" i="4" s="1"/>
  <c r="D101" i="3"/>
  <c r="I92" i="3"/>
  <c r="D45" i="3"/>
  <c r="D46" i="3" s="1"/>
  <c r="F45" i="3"/>
  <c r="F46" i="3" s="1"/>
  <c r="F98" i="3"/>
  <c r="F99" i="3" s="1"/>
  <c r="F44" i="4"/>
  <c r="F45" i="4"/>
  <c r="F46" i="4" s="1"/>
  <c r="D45" i="4"/>
  <c r="D46" i="4" s="1"/>
  <c r="I39" i="3"/>
  <c r="I39" i="4"/>
  <c r="D101" i="5"/>
  <c r="G92" i="5" s="1"/>
  <c r="D44" i="5"/>
  <c r="D45" i="5" s="1"/>
  <c r="F45" i="5"/>
  <c r="G40" i="5" s="1"/>
  <c r="D102" i="3"/>
  <c r="G93" i="3"/>
  <c r="G92" i="3"/>
  <c r="E40" i="3"/>
  <c r="G40" i="3"/>
  <c r="B57" i="5"/>
  <c r="B57" i="3"/>
  <c r="D49" i="2"/>
  <c r="D40" i="2"/>
  <c r="D36" i="2"/>
  <c r="D32" i="2"/>
  <c r="D28" i="2"/>
  <c r="D24" i="2"/>
  <c r="B57" i="4"/>
  <c r="B69" i="4" s="1"/>
  <c r="D50" i="2"/>
  <c r="E41" i="3"/>
  <c r="G39" i="3"/>
  <c r="D26" i="2"/>
  <c r="D31" i="2"/>
  <c r="D37" i="2"/>
  <c r="D42" i="2"/>
  <c r="B49" i="2"/>
  <c r="G41" i="3"/>
  <c r="D49" i="3"/>
  <c r="D49" i="4"/>
  <c r="E41" i="4"/>
  <c r="D27" i="2"/>
  <c r="D33" i="2"/>
  <c r="D38" i="2"/>
  <c r="D43" i="2"/>
  <c r="C49" i="2"/>
  <c r="B69" i="3"/>
  <c r="D97" i="3"/>
  <c r="D98" i="3" s="1"/>
  <c r="D99" i="3" s="1"/>
  <c r="G41" i="4"/>
  <c r="F98" i="4"/>
  <c r="G94" i="4" s="1"/>
  <c r="B69" i="5"/>
  <c r="D35" i="2"/>
  <c r="D41" i="2"/>
  <c r="G92" i="4"/>
  <c r="D97" i="5"/>
  <c r="D98" i="5" s="1"/>
  <c r="D99" i="5" s="1"/>
  <c r="D49" i="5"/>
  <c r="G93" i="5" l="1"/>
  <c r="G94" i="5"/>
  <c r="D102" i="5"/>
  <c r="G91" i="5"/>
  <c r="E91" i="4"/>
  <c r="E92" i="4"/>
  <c r="E93" i="3"/>
  <c r="E94" i="3"/>
  <c r="E91" i="3"/>
  <c r="G38" i="3"/>
  <c r="G42" i="3" s="1"/>
  <c r="E39" i="3"/>
  <c r="E38" i="3"/>
  <c r="D52" i="3" s="1"/>
  <c r="G91" i="3"/>
  <c r="E92" i="3"/>
  <c r="G94" i="3"/>
  <c r="G39" i="4"/>
  <c r="G38" i="4"/>
  <c r="G40" i="4"/>
  <c r="G42" i="4" s="1"/>
  <c r="E40" i="4"/>
  <c r="E39" i="4"/>
  <c r="E38" i="4"/>
  <c r="E42" i="4" s="1"/>
  <c r="G38" i="5"/>
  <c r="G39" i="5"/>
  <c r="E41" i="5"/>
  <c r="E40" i="5"/>
  <c r="D46" i="5"/>
  <c r="E39" i="5"/>
  <c r="E38" i="5"/>
  <c r="F46" i="5"/>
  <c r="G41" i="5"/>
  <c r="E93" i="5"/>
  <c r="E92" i="5"/>
  <c r="E94" i="5"/>
  <c r="G91" i="4"/>
  <c r="F99" i="4"/>
  <c r="D99" i="4"/>
  <c r="E93" i="4"/>
  <c r="E91" i="5"/>
  <c r="G93" i="4"/>
  <c r="E94" i="4"/>
  <c r="G95" i="5" l="1"/>
  <c r="E95" i="4"/>
  <c r="G95" i="4"/>
  <c r="G95" i="3"/>
  <c r="E95" i="3"/>
  <c r="D103" i="3"/>
  <c r="E111" i="3" s="1"/>
  <c r="F111" i="3" s="1"/>
  <c r="E42" i="3"/>
  <c r="D50" i="3"/>
  <c r="G66" i="3" s="1"/>
  <c r="H66" i="3" s="1"/>
  <c r="D105" i="3"/>
  <c r="D52" i="4"/>
  <c r="D50" i="4"/>
  <c r="G71" i="4" s="1"/>
  <c r="H71" i="4" s="1"/>
  <c r="D105" i="4"/>
  <c r="D103" i="4"/>
  <c r="E110" i="4" s="1"/>
  <c r="F110" i="4" s="1"/>
  <c r="E42" i="5"/>
  <c r="G42" i="5"/>
  <c r="D50" i="5"/>
  <c r="G70" i="5" s="1"/>
  <c r="H70" i="5" s="1"/>
  <c r="D52" i="5"/>
  <c r="D103" i="5"/>
  <c r="E95" i="5"/>
  <c r="D105" i="5"/>
  <c r="D51" i="3"/>
  <c r="G61" i="3"/>
  <c r="H61" i="3" s="1"/>
  <c r="E113" i="3"/>
  <c r="F113" i="3" s="1"/>
  <c r="G68" i="4"/>
  <c r="H68" i="4" s="1"/>
  <c r="G66" i="4"/>
  <c r="H66" i="4" s="1"/>
  <c r="E111" i="4" l="1"/>
  <c r="F111" i="4" s="1"/>
  <c r="E113" i="4"/>
  <c r="F113" i="4" s="1"/>
  <c r="E112" i="4"/>
  <c r="F112" i="4" s="1"/>
  <c r="D104" i="3"/>
  <c r="E112" i="3"/>
  <c r="F112" i="3" s="1"/>
  <c r="E108" i="3"/>
  <c r="E109" i="3"/>
  <c r="F109" i="3" s="1"/>
  <c r="E110" i="3"/>
  <c r="F110" i="3" s="1"/>
  <c r="G63" i="3"/>
  <c r="H63" i="3" s="1"/>
  <c r="G67" i="3"/>
  <c r="H67" i="3" s="1"/>
  <c r="G62" i="3"/>
  <c r="H62" i="3" s="1"/>
  <c r="G70" i="3"/>
  <c r="H70" i="3" s="1"/>
  <c r="G65" i="3"/>
  <c r="H65" i="3" s="1"/>
  <c r="G68" i="3"/>
  <c r="H68" i="3" s="1"/>
  <c r="G69" i="3"/>
  <c r="H69" i="3" s="1"/>
  <c r="G71" i="3"/>
  <c r="H71" i="3" s="1"/>
  <c r="G64" i="3"/>
  <c r="H64" i="3" s="1"/>
  <c r="G60" i="3"/>
  <c r="G61" i="4"/>
  <c r="H61" i="4" s="1"/>
  <c r="D51" i="4"/>
  <c r="G63" i="4"/>
  <c r="H63" i="4" s="1"/>
  <c r="G64" i="4"/>
  <c r="H64" i="4" s="1"/>
  <c r="G70" i="4"/>
  <c r="H70" i="4" s="1"/>
  <c r="G60" i="4"/>
  <c r="H60" i="4" s="1"/>
  <c r="G65" i="4"/>
  <c r="H65" i="4" s="1"/>
  <c r="G69" i="4"/>
  <c r="H69" i="4" s="1"/>
  <c r="G62" i="4"/>
  <c r="H62" i="4" s="1"/>
  <c r="G67" i="4"/>
  <c r="H67" i="4" s="1"/>
  <c r="D104" i="4"/>
  <c r="E108" i="4"/>
  <c r="E109" i="4"/>
  <c r="F109" i="4" s="1"/>
  <c r="D51" i="5"/>
  <c r="G71" i="5"/>
  <c r="H71" i="5" s="1"/>
  <c r="G69" i="5"/>
  <c r="H69" i="5" s="1"/>
  <c r="G60" i="5"/>
  <c r="H60" i="5" s="1"/>
  <c r="G63" i="5"/>
  <c r="H63" i="5" s="1"/>
  <c r="G62" i="5"/>
  <c r="H62" i="5" s="1"/>
  <c r="G65" i="5"/>
  <c r="H65" i="5" s="1"/>
  <c r="G64" i="5"/>
  <c r="H64" i="5" s="1"/>
  <c r="G68" i="5"/>
  <c r="H68" i="5" s="1"/>
  <c r="G67" i="5"/>
  <c r="H67" i="5" s="1"/>
  <c r="G66" i="5"/>
  <c r="H66" i="5" s="1"/>
  <c r="G61" i="5"/>
  <c r="H61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5" i="4" l="1"/>
  <c r="E116" i="4" s="1"/>
  <c r="E117" i="4"/>
  <c r="E120" i="3"/>
  <c r="E117" i="3"/>
  <c r="E119" i="3"/>
  <c r="F108" i="3"/>
  <c r="F117" i="3" s="1"/>
  <c r="E115" i="3"/>
  <c r="E116" i="3" s="1"/>
  <c r="G72" i="3"/>
  <c r="G73" i="3" s="1"/>
  <c r="H60" i="3"/>
  <c r="H74" i="3" s="1"/>
  <c r="G74" i="3"/>
  <c r="G72" i="4"/>
  <c r="G73" i="4" s="1"/>
  <c r="G74" i="4"/>
  <c r="E120" i="4"/>
  <c r="E119" i="4"/>
  <c r="F108" i="4"/>
  <c r="F120" i="4" s="1"/>
  <c r="G74" i="5"/>
  <c r="G72" i="5"/>
  <c r="G73" i="5" s="1"/>
  <c r="E120" i="5"/>
  <c r="E117" i="5"/>
  <c r="F108" i="5"/>
  <c r="E115" i="5"/>
  <c r="E116" i="5" s="1"/>
  <c r="E119" i="5"/>
  <c r="H72" i="3"/>
  <c r="H74" i="4"/>
  <c r="H72" i="4"/>
  <c r="H74" i="5"/>
  <c r="H72" i="5"/>
  <c r="D125" i="4" l="1"/>
  <c r="F119" i="4"/>
  <c r="F125" i="3"/>
  <c r="F120" i="3"/>
  <c r="F115" i="3"/>
  <c r="F116" i="3" s="1"/>
  <c r="D125" i="3"/>
  <c r="F119" i="3"/>
  <c r="F115" i="4"/>
  <c r="G124" i="4" s="1"/>
  <c r="F125" i="4"/>
  <c r="F117" i="4"/>
  <c r="G76" i="4"/>
  <c r="H73" i="4"/>
  <c r="G76" i="3"/>
  <c r="H73" i="3"/>
  <c r="G76" i="5"/>
  <c r="H73" i="5"/>
  <c r="F125" i="5"/>
  <c r="F120" i="5"/>
  <c r="F117" i="5"/>
  <c r="D125" i="5"/>
  <c r="F115" i="5"/>
  <c r="F119" i="5"/>
  <c r="F116" i="4" l="1"/>
  <c r="G124" i="3"/>
  <c r="G124" i="5"/>
  <c r="F116" i="5"/>
</calcChain>
</file>

<file path=xl/sharedStrings.xml><?xml version="1.0" encoding="utf-8"?>
<sst xmlns="http://schemas.openxmlformats.org/spreadsheetml/2006/main" count="669" uniqueCount="145">
  <si>
    <t>HPLC System Suitability Report</t>
  </si>
  <si>
    <t>Analysis Data</t>
  </si>
  <si>
    <t>Assay</t>
  </si>
  <si>
    <t>Sample(s)</t>
  </si>
  <si>
    <t>Reference Substance:</t>
  </si>
  <si>
    <t>EFAVIRENZ, LAMIVUDINE AND TENOFOVIR DISOPROXIL FUMARATE TABLETS 600 MG/ 300 MG/ 300 MG</t>
  </si>
  <si>
    <t>% age Purity:</t>
  </si>
  <si>
    <t>NDQB201707033</t>
  </si>
  <si>
    <t>Weight (mg):</t>
  </si>
  <si>
    <t>Efavirenz, Tenofovir Disproxil Fumarate, Lamivudine</t>
  </si>
  <si>
    <t>Standard Conc (mg/mL):</t>
  </si>
  <si>
    <t>Each film coated tablet contains Efavirenz 600mg, lamivudine 300mg and Tenofovir Disoproxil Fumarate 300 mg equivalent to Tenofovir Disoproxil 245 mg.</t>
  </si>
  <si>
    <t>2017-07-19 11:57:45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</si>
  <si>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</si>
  <si>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</si>
  <si>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</si>
  <si>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</si>
  <si>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</si>
  <si>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</si>
  <si>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</si>
  <si>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</si>
  <si>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</si>
  <si>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</si>
  <si>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</si>
  <si>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</si>
  <si>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</si>
  <si>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</si>
  <si>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</si>
  <si>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</si>
  <si>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</si>
  <si>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</si>
  <si>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</si>
  <si>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</si>
  <si>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</si>
  <si>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</si>
  <si>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</si>
  <si>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</si>
  <si>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</si>
  <si>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</si>
  <si>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</si>
  <si>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</si>
  <si>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</si>
  <si>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</si>
  <si>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</si>
  <si>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</si>
  <si>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</si>
  <si>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</si>
  <si>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</si>
  <si>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</si>
  <si>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</si>
  <si>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</si>
  <si>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</si>
  <si>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</si>
  <si>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</si>
  <si>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</si>
  <si>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</si>
  <si>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</si>
  <si>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</si>
  <si>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</si>
  <si>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</si>
  <si>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</si>
  <si>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</si>
  <si>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</si>
  <si>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</si>
  <si>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</si>
  <si>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</si>
  <si>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</si>
  <si>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</si>
  <si>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</si>
  <si>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</si>
  <si>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</si>
  <si>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</si>
  <si>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</si>
  <si>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</si>
  <si>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</si>
  <si>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</si>
  <si>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</si>
  <si>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</si>
  <si>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</si>
  <si>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</si>
  <si>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</si>
  <si>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</si>
  <si>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</si>
  <si>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</si>
  <si>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</si>
  <si>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</si>
  <si>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</si>
  <si>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</si>
  <si>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</si>
  <si>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</si>
  <si>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</si>
  <si>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</si>
  <si>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</si>
  <si>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</si>
  <si>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</si>
  <si>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</si>
  <si>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</si>
  <si>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</si>
  <si>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</si>
  <si>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</si>
  <si>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</si>
  <si>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</si>
  <si>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</si>
  <si>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</si>
  <si>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</si>
  <si>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</si>
  <si>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</si>
  <si>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</si>
  <si>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</si>
  <si>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</si>
  <si>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</si>
  <si>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</si>
  <si>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</si>
  <si>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</si>
  <si>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</si>
  <si>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</si>
  <si>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</si>
  <si>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</si>
  <si>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</si>
  <si>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</si>
  <si>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</si>
  <si>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</si>
  <si>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</si>
  <si>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</si>
  <si>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</si>
  <si>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</si>
  <si>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</si>
  <si>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</si>
  <si>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</si>
  <si>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</si>
  <si>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</si>
  <si>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</si>
  <si>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EFAVIRENZ</t>
  </si>
  <si>
    <t>E15-6</t>
  </si>
  <si>
    <t xml:space="preserve"> Lamivudine</t>
  </si>
  <si>
    <t>LAMIVUDINE</t>
  </si>
  <si>
    <t>L3-10</t>
  </si>
  <si>
    <t xml:space="preserve"> Tenofovir Disproxil Fumarate</t>
  </si>
  <si>
    <t>T11-10</t>
  </si>
  <si>
    <t>TENOFOVIR DISOPROXIL FUMARATE/  LAMIVUDINE/ EFAVIRENZ  TABLETS 300 MG/300 MG /600 MG</t>
  </si>
  <si>
    <t>Lamivudine</t>
  </si>
  <si>
    <t>RUTTO KENNEDY</t>
  </si>
  <si>
    <t xml:space="preserve">                         Tenofovir Disoproxil Fumarate </t>
  </si>
  <si>
    <t>Resolution(USP)</t>
  </si>
  <si>
    <t>The number of Theoretical Plates (USP) for all peaks should be NLT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</si>
</sst>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6" fillId="2" borderId="0"/>
  </cellStyleXfs>
  <cellXfs count="7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6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5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10" fontId="2" fillId="2" borderId="0" xfId="2" applyNumberFormat="1" applyFont="1" applyFill="1" applyBorder="1"/>
  </cellXfs>
  <cellStyles count="3">
    <cellStyle name="Normal" xfId="0" builtinId="0"/>
    <cellStyle name="Normal 2" xfId="1"/>
    <cellStyle name="Normal 2 2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5" width="25.85546875" style="665" customWidth="1"/>
    <col min="6" max="6" width="25.7109375" style="665" customWidth="1"/>
    <col min="7" max="7" width="23.140625" style="665" customWidth="1"/>
    <col min="8" max="8" width="28.42578125" style="665" customWidth="1"/>
    <col min="9" max="9" width="21.5703125" style="665" customWidth="1"/>
    <col min="10" max="10" width="9.140625" style="665" customWidth="1"/>
    <col min="11" max="16384" width="9.140625" style="702"/>
  </cols>
  <sheetData>
    <row r="14" spans="1:7" ht="15" customHeight="1" x14ac:dyDescent="0.3">
      <c r="A14" s="664"/>
      <c r="C14" s="666"/>
      <c r="G14" s="666"/>
    </row>
    <row r="15" spans="1:7" ht="18.75" customHeight="1" x14ac:dyDescent="0.3">
      <c r="A15" s="667" t="s">
        <v>0</v>
      </c>
      <c r="B15" s="667"/>
      <c r="C15" s="667"/>
      <c r="D15" s="667"/>
      <c r="E15" s="667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139</v>
      </c>
      <c r="D17" s="671"/>
      <c r="E17" s="671"/>
      <c r="F17" s="672"/>
    </row>
    <row r="18" spans="1:6" ht="16.5" customHeight="1" x14ac:dyDescent="0.3">
      <c r="A18" s="673" t="s">
        <v>4</v>
      </c>
      <c r="B18" s="674" t="s">
        <v>142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99.54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11.3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f>B20/100</f>
        <v>0.113</v>
      </c>
      <c r="C21" s="672"/>
      <c r="D21" s="672"/>
      <c r="E21" s="672"/>
      <c r="F21" s="672"/>
    </row>
    <row r="22" spans="1:6" ht="15.75" customHeight="1" x14ac:dyDescent="0.25">
      <c r="A22" s="672"/>
      <c r="B22" s="672"/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143</v>
      </c>
      <c r="F23" s="676" t="s">
        <v>17</v>
      </c>
    </row>
    <row r="24" spans="1:6" ht="16.5" customHeight="1" x14ac:dyDescent="0.3">
      <c r="A24" s="678">
        <v>1</v>
      </c>
      <c r="B24" s="679">
        <v>9722180</v>
      </c>
      <c r="C24" s="679">
        <v>43315</v>
      </c>
      <c r="D24" s="680">
        <v>1.1000000000000001</v>
      </c>
      <c r="E24" s="680">
        <v>43.2</v>
      </c>
      <c r="F24" s="681">
        <v>16</v>
      </c>
    </row>
    <row r="25" spans="1:6" ht="16.5" customHeight="1" x14ac:dyDescent="0.3">
      <c r="A25" s="678">
        <v>2</v>
      </c>
      <c r="B25" s="679">
        <v>9752828</v>
      </c>
      <c r="C25" s="679">
        <v>43066.5</v>
      </c>
      <c r="D25" s="680">
        <v>1.1000000000000001</v>
      </c>
      <c r="E25" s="680">
        <v>43.2</v>
      </c>
      <c r="F25" s="680">
        <v>16</v>
      </c>
    </row>
    <row r="26" spans="1:6" ht="16.5" customHeight="1" x14ac:dyDescent="0.3">
      <c r="A26" s="678">
        <v>3</v>
      </c>
      <c r="B26" s="679">
        <v>9715168</v>
      </c>
      <c r="C26" s="679">
        <v>43341.5</v>
      </c>
      <c r="D26" s="680">
        <v>1.1000000000000001</v>
      </c>
      <c r="E26" s="680">
        <v>43.4</v>
      </c>
      <c r="F26" s="680">
        <v>16</v>
      </c>
    </row>
    <row r="27" spans="1:6" ht="16.5" customHeight="1" x14ac:dyDescent="0.3">
      <c r="A27" s="678">
        <v>4</v>
      </c>
      <c r="B27" s="679">
        <v>9731931</v>
      </c>
      <c r="C27" s="679">
        <v>42756.2</v>
      </c>
      <c r="D27" s="680">
        <v>1.1000000000000001</v>
      </c>
      <c r="E27" s="680">
        <v>43.2</v>
      </c>
      <c r="F27" s="680">
        <v>16</v>
      </c>
    </row>
    <row r="28" spans="1:6" ht="16.5" customHeight="1" x14ac:dyDescent="0.3">
      <c r="A28" s="678">
        <v>5</v>
      </c>
      <c r="B28" s="679">
        <v>9666731</v>
      </c>
      <c r="C28" s="679">
        <v>42861.1</v>
      </c>
      <c r="D28" s="680">
        <v>1.1000000000000001</v>
      </c>
      <c r="E28" s="680">
        <v>43.3</v>
      </c>
      <c r="F28" s="680">
        <v>16</v>
      </c>
    </row>
    <row r="29" spans="1:6" ht="16.5" customHeight="1" x14ac:dyDescent="0.3">
      <c r="A29" s="678">
        <v>6</v>
      </c>
      <c r="B29" s="682">
        <v>9784286</v>
      </c>
      <c r="C29" s="682">
        <v>42939.6</v>
      </c>
      <c r="D29" s="683">
        <v>1.1000000000000001</v>
      </c>
      <c r="E29" s="683">
        <v>43.1</v>
      </c>
      <c r="F29" s="683">
        <v>16</v>
      </c>
    </row>
    <row r="30" spans="1:6" ht="16.5" customHeight="1" x14ac:dyDescent="0.3">
      <c r="A30" s="684" t="s">
        <v>18</v>
      </c>
      <c r="B30" s="685">
        <f>AVERAGE(B24:B29)</f>
        <v>9728854</v>
      </c>
      <c r="C30" s="686">
        <f>AVERAGE(C24:C29)</f>
        <v>43046.65</v>
      </c>
      <c r="D30" s="687">
        <f>AVERAGE(D24:D29)</f>
        <v>1.0999999999999999</v>
      </c>
      <c r="E30" s="687">
        <f>AVERAGE(E24:E29)</f>
        <v>43.233333333333341</v>
      </c>
      <c r="F30" s="687">
        <f>AVERAGE(F24:F29)</f>
        <v>16</v>
      </c>
    </row>
    <row r="31" spans="1:6" ht="16.5" customHeight="1" x14ac:dyDescent="0.3">
      <c r="A31" s="688" t="s">
        <v>19</v>
      </c>
      <c r="B31" s="689">
        <f>(STDEV(B24:B29)/B30)</f>
        <v>4.0462184811820741E-3</v>
      </c>
      <c r="C31" s="690"/>
      <c r="D31" s="690"/>
      <c r="E31" s="690"/>
      <c r="F31" s="691"/>
    </row>
    <row r="32" spans="1:6" s="665" customFormat="1" ht="16.5" customHeight="1" x14ac:dyDescent="0.3">
      <c r="A32" s="692" t="s">
        <v>20</v>
      </c>
      <c r="B32" s="693">
        <f>COUNT(B24:B29)</f>
        <v>6</v>
      </c>
      <c r="C32" s="694"/>
      <c r="D32" s="695"/>
      <c r="E32" s="695"/>
      <c r="F32" s="696"/>
    </row>
    <row r="33" spans="1:6" s="665" customFormat="1" ht="15.75" customHeight="1" x14ac:dyDescent="0.25">
      <c r="A33" s="672"/>
      <c r="B33" s="672"/>
      <c r="C33" s="672"/>
      <c r="D33" s="672"/>
      <c r="E33" s="672"/>
      <c r="F33" s="672"/>
    </row>
    <row r="34" spans="1:6" s="665" customFormat="1" ht="16.5" customHeight="1" x14ac:dyDescent="0.3">
      <c r="A34" s="673" t="s">
        <v>21</v>
      </c>
      <c r="B34" s="697" t="s">
        <v>22</v>
      </c>
      <c r="C34" s="698"/>
      <c r="D34" s="698"/>
      <c r="E34" s="698"/>
      <c r="F34" s="698"/>
    </row>
    <row r="35" spans="1:6" ht="16.5" customHeight="1" x14ac:dyDescent="0.3">
      <c r="A35" s="673"/>
      <c r="B35" s="697" t="s">
        <v>144</v>
      </c>
      <c r="C35" s="698"/>
      <c r="D35" s="698"/>
      <c r="E35" s="698"/>
      <c r="F35" s="698"/>
    </row>
    <row r="36" spans="1:6" ht="16.5" customHeight="1" x14ac:dyDescent="0.3">
      <c r="A36" s="673"/>
      <c r="B36" s="697" t="s">
        <v>24</v>
      </c>
      <c r="C36" s="698"/>
      <c r="D36" s="698"/>
      <c r="E36" s="698"/>
      <c r="F36" s="698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4" t="s">
        <v>142</v>
      </c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>
        <v>99.54</v>
      </c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>
        <v>15.15</v>
      </c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>
        <f>15.15/50</f>
        <v>0.30299999999999999</v>
      </c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143</v>
      </c>
      <c r="F44" s="676" t="s">
        <v>17</v>
      </c>
    </row>
    <row r="45" spans="1:6" ht="16.5" customHeight="1" x14ac:dyDescent="0.3">
      <c r="A45" s="678">
        <v>1</v>
      </c>
      <c r="B45" s="679">
        <v>3701715</v>
      </c>
      <c r="C45" s="679">
        <v>10587</v>
      </c>
      <c r="D45" s="680">
        <v>1.39</v>
      </c>
      <c r="E45" s="680">
        <v>17.48</v>
      </c>
      <c r="F45" s="681">
        <v>7.96</v>
      </c>
    </row>
    <row r="46" spans="1:6" ht="16.5" customHeight="1" x14ac:dyDescent="0.3">
      <c r="A46" s="678">
        <v>2</v>
      </c>
      <c r="B46" s="679">
        <v>3696160</v>
      </c>
      <c r="C46" s="679">
        <v>10535</v>
      </c>
      <c r="D46" s="680">
        <v>1.38</v>
      </c>
      <c r="E46" s="680">
        <v>17.260000000000002</v>
      </c>
      <c r="F46" s="680">
        <v>7.97</v>
      </c>
    </row>
    <row r="47" spans="1:6" ht="16.5" customHeight="1" x14ac:dyDescent="0.3">
      <c r="A47" s="678">
        <v>3</v>
      </c>
      <c r="B47" s="679">
        <v>3707017</v>
      </c>
      <c r="C47" s="679">
        <v>10593</v>
      </c>
      <c r="D47" s="680">
        <v>1.39</v>
      </c>
      <c r="E47" s="680">
        <v>17.329999999999998</v>
      </c>
      <c r="F47" s="680">
        <v>7.97</v>
      </c>
    </row>
    <row r="48" spans="1:6" ht="16.5" customHeight="1" x14ac:dyDescent="0.3">
      <c r="A48" s="678">
        <v>4</v>
      </c>
      <c r="B48" s="679">
        <v>3689986</v>
      </c>
      <c r="C48" s="679">
        <v>10565</v>
      </c>
      <c r="D48" s="680">
        <v>1.38</v>
      </c>
      <c r="E48" s="680">
        <v>17.29</v>
      </c>
      <c r="F48" s="680">
        <v>7.97</v>
      </c>
    </row>
    <row r="49" spans="1:8" ht="16.5" customHeight="1" x14ac:dyDescent="0.3">
      <c r="A49" s="678">
        <v>5</v>
      </c>
      <c r="B49" s="679">
        <v>3735683</v>
      </c>
      <c r="C49" s="679">
        <v>10422</v>
      </c>
      <c r="D49" s="680">
        <v>1.38</v>
      </c>
      <c r="E49" s="680">
        <v>17.079999999999998</v>
      </c>
      <c r="F49" s="680">
        <v>7.97</v>
      </c>
    </row>
    <row r="50" spans="1:8" ht="16.5" customHeight="1" x14ac:dyDescent="0.3">
      <c r="A50" s="678">
        <v>6</v>
      </c>
      <c r="B50" s="682">
        <v>3711073</v>
      </c>
      <c r="C50" s="682">
        <v>10326</v>
      </c>
      <c r="D50" s="683">
        <v>1.41</v>
      </c>
      <c r="E50" s="683">
        <v>17.12</v>
      </c>
      <c r="F50" s="683">
        <v>7.97</v>
      </c>
    </row>
    <row r="51" spans="1:8" ht="16.5" customHeight="1" x14ac:dyDescent="0.3">
      <c r="A51" s="684" t="s">
        <v>18</v>
      </c>
      <c r="B51" s="685">
        <f>AVERAGE(B45:B50)</f>
        <v>3706939</v>
      </c>
      <c r="C51" s="686">
        <f>AVERAGE(C45:C50)</f>
        <v>10504.666666666666</v>
      </c>
      <c r="D51" s="687">
        <f>AVERAGE(D45:D50)</f>
        <v>1.388333333333333</v>
      </c>
      <c r="E51" s="687">
        <f>AVERAGE(E45:E50)</f>
        <v>17.260000000000002</v>
      </c>
      <c r="F51" s="687">
        <f>AVERAGE(F45:F50)</f>
        <v>7.9683333333333328</v>
      </c>
    </row>
    <row r="52" spans="1:8" ht="16.5" customHeight="1" x14ac:dyDescent="0.3">
      <c r="A52" s="688" t="s">
        <v>19</v>
      </c>
      <c r="B52" s="689">
        <f>(STDEV(B45:B50)/B51)</f>
        <v>4.3064307993352768E-3</v>
      </c>
      <c r="C52" s="690"/>
      <c r="D52" s="690"/>
      <c r="E52" s="690"/>
      <c r="F52" s="691"/>
    </row>
    <row r="53" spans="1:8" s="665" customFormat="1" ht="16.5" customHeight="1" x14ac:dyDescent="0.3">
      <c r="A53" s="692" t="s">
        <v>20</v>
      </c>
      <c r="B53" s="693">
        <f>COUNT(B45:B50)</f>
        <v>6</v>
      </c>
      <c r="C53" s="694"/>
      <c r="D53" s="695"/>
      <c r="E53" s="695"/>
      <c r="F53" s="696"/>
    </row>
    <row r="54" spans="1:8" s="665" customFormat="1" ht="15.75" customHeight="1" x14ac:dyDescent="0.25">
      <c r="A54" s="672"/>
      <c r="B54" s="672"/>
      <c r="C54" s="672"/>
      <c r="D54" s="672"/>
      <c r="E54" s="672"/>
      <c r="F54" s="672"/>
    </row>
    <row r="55" spans="1:8" s="665" customFormat="1" ht="16.5" customHeight="1" x14ac:dyDescent="0.3">
      <c r="A55" s="673" t="s">
        <v>21</v>
      </c>
      <c r="B55" s="697" t="s">
        <v>22</v>
      </c>
      <c r="C55" s="698"/>
      <c r="D55" s="698"/>
      <c r="E55" s="698"/>
      <c r="F55" s="698"/>
    </row>
    <row r="56" spans="1:8" ht="16.5" customHeight="1" x14ac:dyDescent="0.3">
      <c r="A56" s="673"/>
      <c r="B56" s="697" t="s">
        <v>23</v>
      </c>
      <c r="C56" s="698"/>
      <c r="D56" s="698"/>
      <c r="E56" s="698"/>
      <c r="F56" s="698"/>
    </row>
    <row r="57" spans="1:8" ht="16.5" customHeight="1" x14ac:dyDescent="0.3">
      <c r="A57" s="673"/>
      <c r="B57" s="697" t="s">
        <v>24</v>
      </c>
      <c r="C57" s="698"/>
      <c r="D57" s="698"/>
      <c r="E57" s="698"/>
      <c r="F57" s="698"/>
    </row>
    <row r="58" spans="1:8" ht="14.25" customHeight="1" thickBot="1" x14ac:dyDescent="0.3">
      <c r="A58" s="699"/>
      <c r="B58" s="700"/>
      <c r="D58" s="701"/>
      <c r="E58" s="711"/>
      <c r="G58" s="702"/>
      <c r="H58" s="702"/>
    </row>
    <row r="59" spans="1:8" ht="15" customHeight="1" x14ac:dyDescent="0.3">
      <c r="B59" s="703" t="s">
        <v>26</v>
      </c>
      <c r="C59" s="703"/>
      <c r="F59" s="704" t="s">
        <v>27</v>
      </c>
      <c r="G59" s="705"/>
      <c r="H59" s="704" t="s">
        <v>28</v>
      </c>
    </row>
    <row r="60" spans="1:8" ht="15" customHeight="1" x14ac:dyDescent="0.3">
      <c r="A60" s="706" t="s">
        <v>29</v>
      </c>
      <c r="B60" s="707" t="s">
        <v>141</v>
      </c>
      <c r="C60" s="707"/>
      <c r="F60" s="708">
        <v>43006</v>
      </c>
      <c r="H60" s="707"/>
    </row>
    <row r="61" spans="1:8" ht="15" customHeight="1" x14ac:dyDescent="0.3">
      <c r="A61" s="706" t="s">
        <v>30</v>
      </c>
      <c r="B61" s="709"/>
      <c r="C61" s="709"/>
      <c r="F61" s="709"/>
      <c r="H61" s="71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9" sqref="B29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4" width="25.85546875" style="665" customWidth="1"/>
    <col min="5" max="5" width="25.7109375" style="665" customWidth="1"/>
    <col min="6" max="6" width="23.140625" style="665" customWidth="1"/>
    <col min="7" max="7" width="28.42578125" style="665" customWidth="1"/>
    <col min="8" max="8" width="21.5703125" style="665" customWidth="1"/>
    <col min="9" max="9" width="9.140625" style="665" customWidth="1"/>
    <col min="10" max="16384" width="9.140625" style="702"/>
  </cols>
  <sheetData>
    <row r="14" spans="1:6" ht="15" customHeight="1" x14ac:dyDescent="0.3">
      <c r="A14" s="664"/>
      <c r="C14" s="666"/>
      <c r="F14" s="666"/>
    </row>
    <row r="15" spans="1:6" ht="18.75" customHeight="1" x14ac:dyDescent="0.3">
      <c r="A15" s="667" t="s">
        <v>0</v>
      </c>
      <c r="B15" s="667"/>
      <c r="C15" s="667"/>
      <c r="D15" s="667"/>
      <c r="E15" s="667"/>
    </row>
    <row r="16" spans="1:6" ht="16.5" customHeight="1" x14ac:dyDescent="0.3">
      <c r="A16" s="668" t="s">
        <v>1</v>
      </c>
      <c r="B16" s="669" t="s">
        <v>2</v>
      </c>
    </row>
    <row r="17" spans="1:5" ht="16.5" customHeight="1" x14ac:dyDescent="0.3">
      <c r="A17" s="670" t="s">
        <v>3</v>
      </c>
      <c r="B17" s="670" t="s">
        <v>139</v>
      </c>
      <c r="D17" s="671"/>
      <c r="E17" s="672"/>
    </row>
    <row r="18" spans="1:5" ht="16.5" customHeight="1" x14ac:dyDescent="0.3">
      <c r="A18" s="673" t="s">
        <v>4</v>
      </c>
      <c r="B18" s="670" t="s">
        <v>140</v>
      </c>
      <c r="C18" s="672"/>
      <c r="D18" s="672"/>
      <c r="E18" s="672"/>
    </row>
    <row r="19" spans="1:5" ht="16.5" customHeight="1" x14ac:dyDescent="0.3">
      <c r="A19" s="673" t="s">
        <v>6</v>
      </c>
      <c r="B19" s="674">
        <v>99.39</v>
      </c>
      <c r="C19" s="672"/>
      <c r="D19" s="672"/>
      <c r="E19" s="672"/>
    </row>
    <row r="20" spans="1:5" ht="16.5" customHeight="1" x14ac:dyDescent="0.3">
      <c r="A20" s="670" t="s">
        <v>8</v>
      </c>
      <c r="B20" s="674">
        <v>12.22</v>
      </c>
      <c r="C20" s="672"/>
      <c r="D20" s="672"/>
      <c r="E20" s="672"/>
    </row>
    <row r="21" spans="1:5" ht="16.5" customHeight="1" x14ac:dyDescent="0.3">
      <c r="A21" s="670" t="s">
        <v>10</v>
      </c>
      <c r="B21" s="675">
        <f>B20/100</f>
        <v>0.1222</v>
      </c>
      <c r="C21" s="672"/>
      <c r="D21" s="672"/>
      <c r="E21" s="672"/>
    </row>
    <row r="22" spans="1:5" ht="15.75" customHeight="1" x14ac:dyDescent="0.25">
      <c r="A22" s="672"/>
      <c r="B22" s="672"/>
      <c r="C22" s="672"/>
      <c r="D22" s="672"/>
      <c r="E22" s="672"/>
    </row>
    <row r="23" spans="1:5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5" ht="16.5" customHeight="1" x14ac:dyDescent="0.3">
      <c r="A24" s="678">
        <v>1</v>
      </c>
      <c r="B24" s="679">
        <v>20748081</v>
      </c>
      <c r="C24" s="679">
        <v>4450.3999999999996</v>
      </c>
      <c r="D24" s="680">
        <v>1</v>
      </c>
      <c r="E24" s="681">
        <v>4.0999999999999996</v>
      </c>
    </row>
    <row r="25" spans="1:5" ht="16.5" customHeight="1" x14ac:dyDescent="0.3">
      <c r="A25" s="678">
        <v>2</v>
      </c>
      <c r="B25" s="679">
        <v>20814651</v>
      </c>
      <c r="C25" s="679">
        <v>4467</v>
      </c>
      <c r="D25" s="680">
        <v>1</v>
      </c>
      <c r="E25" s="680">
        <v>4.0999999999999996</v>
      </c>
    </row>
    <row r="26" spans="1:5" ht="16.5" customHeight="1" x14ac:dyDescent="0.3">
      <c r="A26" s="678">
        <v>3</v>
      </c>
      <c r="B26" s="679">
        <v>20723372</v>
      </c>
      <c r="C26" s="679">
        <v>4498.1000000000004</v>
      </c>
      <c r="D26" s="680">
        <v>1</v>
      </c>
      <c r="E26" s="680">
        <v>4.0999999999999996</v>
      </c>
    </row>
    <row r="27" spans="1:5" ht="16.5" customHeight="1" x14ac:dyDescent="0.3">
      <c r="A27" s="678">
        <v>4</v>
      </c>
      <c r="B27" s="679">
        <v>20759087</v>
      </c>
      <c r="C27" s="679">
        <v>4506.5</v>
      </c>
      <c r="D27" s="680">
        <v>1</v>
      </c>
      <c r="E27" s="680">
        <v>4.0999999999999996</v>
      </c>
    </row>
    <row r="28" spans="1:5" ht="16.5" customHeight="1" x14ac:dyDescent="0.3">
      <c r="A28" s="678">
        <v>5</v>
      </c>
      <c r="B28" s="679">
        <v>20635393</v>
      </c>
      <c r="C28" s="679">
        <v>4522.3</v>
      </c>
      <c r="D28" s="680">
        <v>1</v>
      </c>
      <c r="E28" s="680">
        <v>4.0999999999999996</v>
      </c>
    </row>
    <row r="29" spans="1:5" ht="16.5" customHeight="1" x14ac:dyDescent="0.3">
      <c r="A29" s="678">
        <v>6</v>
      </c>
      <c r="B29" s="682">
        <v>20850103</v>
      </c>
      <c r="C29" s="682">
        <v>4476.1000000000004</v>
      </c>
      <c r="D29" s="683">
        <v>1</v>
      </c>
      <c r="E29" s="683">
        <v>4.0999999999999996</v>
      </c>
    </row>
    <row r="30" spans="1:5" ht="16.5" customHeight="1" x14ac:dyDescent="0.3">
      <c r="A30" s="684" t="s">
        <v>18</v>
      </c>
      <c r="B30" s="685">
        <f>AVERAGE(B24:B29)</f>
        <v>20755114.5</v>
      </c>
      <c r="C30" s="686">
        <f>AVERAGE(C24:C29)</f>
        <v>4486.7333333333336</v>
      </c>
      <c r="D30" s="687">
        <f>AVERAGE(D24:D29)</f>
        <v>1</v>
      </c>
      <c r="E30" s="687">
        <f>AVERAGE(E24:E29)</f>
        <v>4.1000000000000005</v>
      </c>
    </row>
    <row r="31" spans="1:5" ht="16.5" customHeight="1" x14ac:dyDescent="0.3">
      <c r="A31" s="688" t="s">
        <v>19</v>
      </c>
      <c r="B31" s="689">
        <f>(STDEV(B24:B29)/B30)</f>
        <v>3.6038204847486589E-3</v>
      </c>
      <c r="C31" s="690"/>
      <c r="D31" s="690"/>
      <c r="E31" s="691"/>
    </row>
    <row r="32" spans="1:5" s="665" customFormat="1" ht="16.5" customHeight="1" x14ac:dyDescent="0.3">
      <c r="A32" s="692" t="s">
        <v>20</v>
      </c>
      <c r="B32" s="693">
        <f>COUNT(B24:B29)</f>
        <v>6</v>
      </c>
      <c r="C32" s="694"/>
      <c r="D32" s="695"/>
      <c r="E32" s="696"/>
    </row>
    <row r="33" spans="1:5" s="665" customFormat="1" ht="15.75" customHeight="1" x14ac:dyDescent="0.25">
      <c r="A33" s="672"/>
      <c r="B33" s="672"/>
      <c r="C33" s="672"/>
      <c r="D33" s="672"/>
      <c r="E33" s="672"/>
    </row>
    <row r="34" spans="1:5" s="665" customFormat="1" ht="16.5" customHeight="1" x14ac:dyDescent="0.3">
      <c r="A34" s="673" t="s">
        <v>21</v>
      </c>
      <c r="B34" s="697" t="s">
        <v>22</v>
      </c>
      <c r="C34" s="698"/>
      <c r="D34" s="698"/>
      <c r="E34" s="698"/>
    </row>
    <row r="35" spans="1:5" ht="16.5" customHeight="1" x14ac:dyDescent="0.3">
      <c r="A35" s="673"/>
      <c r="B35" s="697" t="s">
        <v>23</v>
      </c>
      <c r="C35" s="698"/>
      <c r="D35" s="698"/>
      <c r="E35" s="698"/>
    </row>
    <row r="36" spans="1:5" ht="16.5" customHeight="1" x14ac:dyDescent="0.3">
      <c r="A36" s="673"/>
      <c r="B36" s="697" t="s">
        <v>24</v>
      </c>
      <c r="C36" s="698"/>
      <c r="D36" s="698"/>
      <c r="E36" s="698"/>
    </row>
    <row r="37" spans="1:5" ht="15.75" customHeight="1" x14ac:dyDescent="0.25">
      <c r="A37" s="672"/>
      <c r="B37" s="672"/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 t="s">
        <v>140</v>
      </c>
      <c r="C39" s="672"/>
      <c r="D39" s="672"/>
      <c r="E39" s="672"/>
    </row>
    <row r="40" spans="1:5" ht="16.5" customHeight="1" x14ac:dyDescent="0.3">
      <c r="A40" s="673" t="s">
        <v>6</v>
      </c>
      <c r="B40" s="674">
        <v>99.39</v>
      </c>
      <c r="C40" s="672"/>
      <c r="D40" s="672"/>
      <c r="E40" s="672"/>
    </row>
    <row r="41" spans="1:5" ht="16.5" customHeight="1" x14ac:dyDescent="0.3">
      <c r="A41" s="670" t="s">
        <v>8</v>
      </c>
      <c r="B41" s="674">
        <v>14.95</v>
      </c>
      <c r="C41" s="672"/>
      <c r="D41" s="672"/>
      <c r="E41" s="672"/>
    </row>
    <row r="42" spans="1:5" ht="16.5" customHeight="1" x14ac:dyDescent="0.3">
      <c r="A42" s="670" t="s">
        <v>10</v>
      </c>
      <c r="B42" s="675">
        <f>14.95/50</f>
        <v>0.29899999999999999</v>
      </c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>
        <v>3750995</v>
      </c>
      <c r="C45" s="679">
        <v>557</v>
      </c>
      <c r="D45" s="680">
        <v>1.5</v>
      </c>
      <c r="E45" s="681">
        <v>2.12</v>
      </c>
    </row>
    <row r="46" spans="1:5" ht="16.5" customHeight="1" x14ac:dyDescent="0.3">
      <c r="A46" s="678">
        <v>2</v>
      </c>
      <c r="B46" s="679">
        <v>3743921</v>
      </c>
      <c r="C46" s="679">
        <v>533</v>
      </c>
      <c r="D46" s="680">
        <v>1.48</v>
      </c>
      <c r="E46" s="680">
        <v>2.12</v>
      </c>
    </row>
    <row r="47" spans="1:5" ht="16.5" customHeight="1" x14ac:dyDescent="0.3">
      <c r="A47" s="678">
        <v>3</v>
      </c>
      <c r="B47" s="679">
        <v>3750281</v>
      </c>
      <c r="C47" s="679">
        <v>538</v>
      </c>
      <c r="D47" s="680">
        <v>1.47</v>
      </c>
      <c r="E47" s="680">
        <v>2.12</v>
      </c>
    </row>
    <row r="48" spans="1:5" ht="16.5" customHeight="1" x14ac:dyDescent="0.3">
      <c r="A48" s="678">
        <v>4</v>
      </c>
      <c r="B48" s="679">
        <v>3710554</v>
      </c>
      <c r="C48" s="679">
        <v>535</v>
      </c>
      <c r="D48" s="680">
        <v>1.45</v>
      </c>
      <c r="E48" s="680">
        <v>2.12</v>
      </c>
    </row>
    <row r="49" spans="1:7" ht="16.5" customHeight="1" x14ac:dyDescent="0.3">
      <c r="A49" s="678">
        <v>5</v>
      </c>
      <c r="B49" s="679">
        <v>3752987</v>
      </c>
      <c r="C49" s="679">
        <v>523</v>
      </c>
      <c r="D49" s="680">
        <v>1.43</v>
      </c>
      <c r="E49" s="680">
        <v>2.13</v>
      </c>
    </row>
    <row r="50" spans="1:7" ht="16.5" customHeight="1" x14ac:dyDescent="0.3">
      <c r="A50" s="678">
        <v>6</v>
      </c>
      <c r="B50" s="682">
        <v>3721874</v>
      </c>
      <c r="C50" s="682">
        <v>531</v>
      </c>
      <c r="D50" s="683">
        <v>1.48</v>
      </c>
      <c r="E50" s="683">
        <v>2.13</v>
      </c>
    </row>
    <row r="51" spans="1:7" ht="16.5" customHeight="1" x14ac:dyDescent="0.3">
      <c r="A51" s="684" t="s">
        <v>18</v>
      </c>
      <c r="B51" s="685">
        <f>AVERAGE(B45:B50)</f>
        <v>3738435.3333333335</v>
      </c>
      <c r="C51" s="686">
        <f>AVERAGE(C45:C50)</f>
        <v>536.16666666666663</v>
      </c>
      <c r="D51" s="687">
        <f>AVERAGE(D45:D50)</f>
        <v>1.4683333333333335</v>
      </c>
      <c r="E51" s="687">
        <f>AVERAGE(E45:E50)</f>
        <v>2.1233333333333331</v>
      </c>
    </row>
    <row r="52" spans="1:7" ht="16.5" customHeight="1" x14ac:dyDescent="0.3">
      <c r="A52" s="688" t="s">
        <v>19</v>
      </c>
      <c r="B52" s="689">
        <f>(STDEV(B45:B50)/B51)</f>
        <v>4.7723904069230756E-3</v>
      </c>
      <c r="C52" s="690"/>
      <c r="D52" s="690"/>
      <c r="E52" s="691"/>
    </row>
    <row r="53" spans="1:7" s="665" customFormat="1" ht="16.5" customHeight="1" x14ac:dyDescent="0.3">
      <c r="A53" s="692" t="s">
        <v>20</v>
      </c>
      <c r="B53" s="693">
        <f>COUNT(B45:B50)</f>
        <v>6</v>
      </c>
      <c r="C53" s="694"/>
      <c r="D53" s="695"/>
      <c r="E53" s="696"/>
    </row>
    <row r="54" spans="1:7" s="665" customFormat="1" ht="15.75" customHeight="1" x14ac:dyDescent="0.25">
      <c r="A54" s="672"/>
      <c r="B54" s="672"/>
      <c r="C54" s="672"/>
      <c r="D54" s="672"/>
      <c r="E54" s="672"/>
    </row>
    <row r="55" spans="1:7" s="665" customFormat="1" ht="16.5" customHeight="1" x14ac:dyDescent="0.3">
      <c r="A55" s="673" t="s">
        <v>21</v>
      </c>
      <c r="B55" s="697" t="s">
        <v>22</v>
      </c>
      <c r="C55" s="698"/>
      <c r="D55" s="698"/>
      <c r="E55" s="698"/>
    </row>
    <row r="56" spans="1:7" ht="16.5" customHeight="1" x14ac:dyDescent="0.3">
      <c r="A56" s="673"/>
      <c r="B56" s="697" t="s">
        <v>23</v>
      </c>
      <c r="C56" s="698"/>
      <c r="D56" s="698"/>
      <c r="E56" s="698"/>
    </row>
    <row r="57" spans="1:7" ht="16.5" customHeight="1" x14ac:dyDescent="0.3">
      <c r="A57" s="673"/>
      <c r="B57" s="697" t="s">
        <v>24</v>
      </c>
      <c r="C57" s="698"/>
      <c r="D57" s="698"/>
      <c r="E57" s="698"/>
    </row>
    <row r="58" spans="1:7" ht="14.25" customHeight="1" thickBot="1" x14ac:dyDescent="0.3">
      <c r="A58" s="699"/>
      <c r="B58" s="700"/>
      <c r="D58" s="701"/>
      <c r="F58" s="702"/>
      <c r="G58" s="702"/>
    </row>
    <row r="59" spans="1:7" ht="15" customHeight="1" x14ac:dyDescent="0.3">
      <c r="B59" s="703" t="s">
        <v>26</v>
      </c>
      <c r="C59" s="703"/>
      <c r="E59" s="704" t="s">
        <v>27</v>
      </c>
      <c r="F59" s="705"/>
      <c r="G59" s="704" t="s">
        <v>28</v>
      </c>
    </row>
    <row r="60" spans="1:7" ht="15" customHeight="1" x14ac:dyDescent="0.3">
      <c r="A60" s="706" t="s">
        <v>29</v>
      </c>
      <c r="B60" s="707" t="s">
        <v>141</v>
      </c>
      <c r="C60" s="707"/>
      <c r="E60" s="708">
        <v>43006</v>
      </c>
      <c r="G60" s="707"/>
    </row>
    <row r="61" spans="1:7" ht="15" customHeight="1" x14ac:dyDescent="0.3">
      <c r="A61" s="706" t="s">
        <v>30</v>
      </c>
      <c r="B61" s="709"/>
      <c r="C61" s="709"/>
      <c r="E61" s="709"/>
      <c r="G61" s="7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9" workbookViewId="0">
      <selection activeCell="A30" sqref="A30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5" width="25.85546875" style="665" customWidth="1"/>
    <col min="6" max="6" width="25.7109375" style="665" customWidth="1"/>
    <col min="7" max="7" width="23.140625" style="665" customWidth="1"/>
    <col min="8" max="8" width="28.42578125" style="665" customWidth="1"/>
    <col min="9" max="9" width="21.5703125" style="665" customWidth="1"/>
    <col min="10" max="10" width="9.140625" style="665" customWidth="1"/>
    <col min="11" max="16384" width="9.140625" style="702"/>
  </cols>
  <sheetData>
    <row r="14" spans="1:7" ht="15" customHeight="1" x14ac:dyDescent="0.3">
      <c r="A14" s="664"/>
      <c r="C14" s="666"/>
      <c r="G14" s="666"/>
    </row>
    <row r="15" spans="1:7" ht="18.75" customHeight="1" x14ac:dyDescent="0.3">
      <c r="A15" s="667" t="s">
        <v>0</v>
      </c>
      <c r="B15" s="667"/>
      <c r="C15" s="667"/>
      <c r="D15" s="667"/>
      <c r="E15" s="667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139</v>
      </c>
      <c r="D17" s="671"/>
      <c r="E17" s="671"/>
      <c r="F17" s="672"/>
    </row>
    <row r="18" spans="1:6" ht="16.5" customHeight="1" x14ac:dyDescent="0.3">
      <c r="A18" s="673" t="s">
        <v>4</v>
      </c>
      <c r="B18" s="670" t="s">
        <v>131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97.21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24.05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f>B20/100</f>
        <v>0.24050000000000002</v>
      </c>
      <c r="C21" s="672"/>
      <c r="D21" s="672"/>
      <c r="E21" s="672"/>
      <c r="F21" s="672"/>
    </row>
    <row r="22" spans="1:6" ht="15.75" customHeight="1" x14ac:dyDescent="0.25">
      <c r="A22" s="672"/>
      <c r="B22" s="672"/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143</v>
      </c>
      <c r="F23" s="676" t="s">
        <v>17</v>
      </c>
    </row>
    <row r="24" spans="1:6" ht="16.5" customHeight="1" x14ac:dyDescent="0.3">
      <c r="A24" s="678">
        <v>1</v>
      </c>
      <c r="B24" s="679">
        <v>4131605</v>
      </c>
      <c r="C24" s="679">
        <v>372079</v>
      </c>
      <c r="D24" s="680">
        <v>1.2</v>
      </c>
      <c r="E24" s="680">
        <v>38.799999999999997</v>
      </c>
      <c r="F24" s="681">
        <v>25.2</v>
      </c>
    </row>
    <row r="25" spans="1:6" ht="16.5" customHeight="1" x14ac:dyDescent="0.3">
      <c r="A25" s="678">
        <v>2</v>
      </c>
      <c r="B25" s="679">
        <v>4138787</v>
      </c>
      <c r="C25" s="679">
        <v>371813</v>
      </c>
      <c r="D25" s="680">
        <v>1.2</v>
      </c>
      <c r="E25" s="680">
        <v>38.700000000000003</v>
      </c>
      <c r="F25" s="680">
        <v>25.2</v>
      </c>
    </row>
    <row r="26" spans="1:6" ht="16.5" customHeight="1" x14ac:dyDescent="0.3">
      <c r="A26" s="678">
        <v>3</v>
      </c>
      <c r="B26" s="679">
        <v>4131064</v>
      </c>
      <c r="C26" s="679">
        <v>372887.8</v>
      </c>
      <c r="D26" s="680">
        <v>1.2</v>
      </c>
      <c r="E26" s="680">
        <v>38.799999999999997</v>
      </c>
      <c r="F26" s="680">
        <v>25.2</v>
      </c>
    </row>
    <row r="27" spans="1:6" ht="16.5" customHeight="1" x14ac:dyDescent="0.3">
      <c r="A27" s="678">
        <v>4</v>
      </c>
      <c r="B27" s="679">
        <v>4132885</v>
      </c>
      <c r="C27" s="679">
        <v>373302.5</v>
      </c>
      <c r="D27" s="680">
        <v>1.3</v>
      </c>
      <c r="E27" s="680">
        <v>38.6</v>
      </c>
      <c r="F27" s="680">
        <v>25.2</v>
      </c>
    </row>
    <row r="28" spans="1:6" ht="16.5" customHeight="1" x14ac:dyDescent="0.3">
      <c r="A28" s="678">
        <v>5</v>
      </c>
      <c r="B28" s="679">
        <v>4106927</v>
      </c>
      <c r="C28" s="679">
        <v>372799.3</v>
      </c>
      <c r="D28" s="680">
        <v>1.3</v>
      </c>
      <c r="E28" s="680">
        <v>38.700000000000003</v>
      </c>
      <c r="F28" s="680">
        <v>25.2</v>
      </c>
    </row>
    <row r="29" spans="1:6" ht="16.5" customHeight="1" x14ac:dyDescent="0.3">
      <c r="A29" s="678">
        <v>6</v>
      </c>
      <c r="B29" s="682">
        <v>4153058</v>
      </c>
      <c r="C29" s="682">
        <v>373208.1</v>
      </c>
      <c r="D29" s="683">
        <v>1.2</v>
      </c>
      <c r="E29" s="683">
        <v>38.799999999999997</v>
      </c>
      <c r="F29" s="683">
        <v>25.1</v>
      </c>
    </row>
    <row r="30" spans="1:6" ht="16.5" customHeight="1" x14ac:dyDescent="0.3">
      <c r="A30" s="684" t="s">
        <v>18</v>
      </c>
      <c r="B30" s="685">
        <f>AVERAGE(B24:B29)</f>
        <v>4132387.6666666665</v>
      </c>
      <c r="C30" s="686">
        <f>AVERAGE(C24:C29)</f>
        <v>372681.6166666667</v>
      </c>
      <c r="D30" s="687">
        <f>AVERAGE(D24:D29)</f>
        <v>1.2333333333333332</v>
      </c>
      <c r="E30" s="687">
        <f>AVERAGE(E24:E29)</f>
        <v>38.733333333333341</v>
      </c>
      <c r="F30" s="687">
        <f>AVERAGE(F24:F29)</f>
        <v>25.183333333333334</v>
      </c>
    </row>
    <row r="31" spans="1:6" ht="16.5" customHeight="1" x14ac:dyDescent="0.3">
      <c r="A31" s="688" t="s">
        <v>19</v>
      </c>
      <c r="B31" s="689">
        <f>(STDEV(B24:B29)/B30)</f>
        <v>3.6202861327755539E-3</v>
      </c>
      <c r="C31" s="690"/>
      <c r="D31" s="690"/>
      <c r="E31" s="690"/>
      <c r="F31" s="691"/>
    </row>
    <row r="32" spans="1:6" s="665" customFormat="1" ht="16.5" customHeight="1" x14ac:dyDescent="0.3">
      <c r="A32" s="692" t="s">
        <v>20</v>
      </c>
      <c r="B32" s="693">
        <f>COUNT(B24:B29)</f>
        <v>6</v>
      </c>
      <c r="C32" s="694"/>
      <c r="D32" s="695"/>
      <c r="E32" s="695"/>
      <c r="F32" s="696"/>
    </row>
    <row r="33" spans="1:6" s="665" customFormat="1" ht="15.75" customHeight="1" x14ac:dyDescent="0.25">
      <c r="A33" s="672"/>
      <c r="B33" s="672"/>
      <c r="C33" s="672"/>
      <c r="D33" s="672"/>
      <c r="E33" s="672"/>
      <c r="F33" s="672"/>
    </row>
    <row r="34" spans="1:6" s="665" customFormat="1" ht="16.5" customHeight="1" x14ac:dyDescent="0.3">
      <c r="A34" s="673" t="s">
        <v>21</v>
      </c>
      <c r="B34" s="697" t="s">
        <v>22</v>
      </c>
      <c r="C34" s="698"/>
      <c r="D34" s="698"/>
      <c r="E34" s="698"/>
      <c r="F34" s="698"/>
    </row>
    <row r="35" spans="1:6" ht="16.5" customHeight="1" x14ac:dyDescent="0.3">
      <c r="A35" s="673"/>
      <c r="B35" s="697" t="s">
        <v>144</v>
      </c>
      <c r="C35" s="698"/>
      <c r="D35" s="698"/>
      <c r="E35" s="698"/>
      <c r="F35" s="698"/>
    </row>
    <row r="36" spans="1:6" ht="16.5" customHeight="1" x14ac:dyDescent="0.3">
      <c r="A36" s="673"/>
      <c r="B36" s="697" t="s">
        <v>24</v>
      </c>
      <c r="C36" s="698"/>
      <c r="D36" s="698"/>
      <c r="E36" s="698"/>
      <c r="F36" s="698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 t="s">
        <v>131</v>
      </c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>
        <v>97.21</v>
      </c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>
        <v>28.47</v>
      </c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>
        <v>0.56940000000000002</v>
      </c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143</v>
      </c>
      <c r="F44" s="676" t="s">
        <v>17</v>
      </c>
    </row>
    <row r="45" spans="1:6" ht="16.5" customHeight="1" x14ac:dyDescent="0.3">
      <c r="A45" s="678">
        <v>1</v>
      </c>
      <c r="B45" s="679">
        <v>2102763</v>
      </c>
      <c r="C45" s="679">
        <v>11384</v>
      </c>
      <c r="D45" s="680">
        <v>1.53</v>
      </c>
      <c r="E45" s="680">
        <v>2.23</v>
      </c>
      <c r="F45" s="681">
        <v>8.68</v>
      </c>
    </row>
    <row r="46" spans="1:6" ht="16.5" customHeight="1" x14ac:dyDescent="0.3">
      <c r="A46" s="678">
        <v>2</v>
      </c>
      <c r="B46" s="679">
        <v>2105212</v>
      </c>
      <c r="C46" s="679">
        <v>11177</v>
      </c>
      <c r="D46" s="680">
        <v>1.5</v>
      </c>
      <c r="E46" s="680">
        <v>2.2000000000000002</v>
      </c>
      <c r="F46" s="680">
        <v>8.69</v>
      </c>
    </row>
    <row r="47" spans="1:6" ht="16.5" customHeight="1" x14ac:dyDescent="0.3">
      <c r="A47" s="678">
        <v>3</v>
      </c>
      <c r="B47" s="679">
        <v>2110501</v>
      </c>
      <c r="C47" s="679">
        <v>11050</v>
      </c>
      <c r="D47" s="680">
        <v>1.5</v>
      </c>
      <c r="E47" s="680">
        <v>2.19</v>
      </c>
      <c r="F47" s="680">
        <v>8.69</v>
      </c>
    </row>
    <row r="48" spans="1:6" ht="16.5" customHeight="1" x14ac:dyDescent="0.3">
      <c r="A48" s="678">
        <v>4</v>
      </c>
      <c r="B48" s="679">
        <v>2103257</v>
      </c>
      <c r="C48" s="679">
        <v>11095</v>
      </c>
      <c r="D48" s="680">
        <v>1.59</v>
      </c>
      <c r="E48" s="680">
        <v>2.2000000000000002</v>
      </c>
      <c r="F48" s="680">
        <v>8.68</v>
      </c>
    </row>
    <row r="49" spans="1:8" ht="16.5" customHeight="1" x14ac:dyDescent="0.3">
      <c r="A49" s="678">
        <v>5</v>
      </c>
      <c r="B49" s="679">
        <v>2127510</v>
      </c>
      <c r="C49" s="679">
        <v>11438</v>
      </c>
      <c r="D49" s="680">
        <v>1.57</v>
      </c>
      <c r="E49" s="680">
        <v>2.21</v>
      </c>
      <c r="F49" s="680">
        <v>8.68</v>
      </c>
    </row>
    <row r="50" spans="1:8" ht="16.5" customHeight="1" x14ac:dyDescent="0.3">
      <c r="A50" s="678">
        <v>6</v>
      </c>
      <c r="B50" s="682">
        <v>2117497</v>
      </c>
      <c r="C50" s="682">
        <v>11266</v>
      </c>
      <c r="D50" s="683">
        <v>1.61</v>
      </c>
      <c r="E50" s="683">
        <v>2.17</v>
      </c>
      <c r="F50" s="683">
        <v>8.68</v>
      </c>
    </row>
    <row r="51" spans="1:8" ht="16.5" customHeight="1" x14ac:dyDescent="0.3">
      <c r="A51" s="684" t="s">
        <v>18</v>
      </c>
      <c r="B51" s="685">
        <f>AVERAGE(B45:B50)</f>
        <v>2111123.3333333335</v>
      </c>
      <c r="C51" s="686">
        <f>AVERAGE(C45:C50)</f>
        <v>11235</v>
      </c>
      <c r="D51" s="687">
        <f>AVERAGE(D45:D50)</f>
        <v>1.55</v>
      </c>
      <c r="E51" s="687">
        <f>AVERAGE(E45:E50)</f>
        <v>2.2000000000000002</v>
      </c>
      <c r="F51" s="687">
        <f>AVERAGE(F45:F50)</f>
        <v>8.6833333333333318</v>
      </c>
    </row>
    <row r="52" spans="1:8" ht="16.5" customHeight="1" x14ac:dyDescent="0.3">
      <c r="A52" s="688" t="s">
        <v>19</v>
      </c>
      <c r="B52" s="689">
        <f>(STDEV(B45:B50)/B51)</f>
        <v>4.6229564332500904E-3</v>
      </c>
      <c r="C52" s="690"/>
      <c r="D52" s="690"/>
      <c r="E52" s="690"/>
      <c r="F52" s="691"/>
    </row>
    <row r="53" spans="1:8" s="665" customFormat="1" ht="16.5" customHeight="1" x14ac:dyDescent="0.3">
      <c r="A53" s="692" t="s">
        <v>20</v>
      </c>
      <c r="B53" s="693">
        <f>COUNT(B45:B50)</f>
        <v>6</v>
      </c>
      <c r="C53" s="694"/>
      <c r="D53" s="695"/>
      <c r="E53" s="695"/>
      <c r="F53" s="696"/>
    </row>
    <row r="54" spans="1:8" s="665" customFormat="1" ht="15.75" customHeight="1" x14ac:dyDescent="0.25">
      <c r="A54" s="672"/>
      <c r="B54" s="672"/>
      <c r="C54" s="672"/>
      <c r="D54" s="672"/>
      <c r="E54" s="672"/>
      <c r="F54" s="672"/>
    </row>
    <row r="55" spans="1:8" s="665" customFormat="1" ht="16.5" customHeight="1" x14ac:dyDescent="0.3">
      <c r="A55" s="673" t="s">
        <v>21</v>
      </c>
      <c r="B55" s="697" t="s">
        <v>22</v>
      </c>
      <c r="C55" s="698"/>
      <c r="D55" s="698"/>
      <c r="E55" s="698"/>
      <c r="F55" s="698"/>
    </row>
    <row r="56" spans="1:8" ht="16.5" customHeight="1" x14ac:dyDescent="0.3">
      <c r="A56" s="673"/>
      <c r="B56" s="697" t="s">
        <v>23</v>
      </c>
      <c r="C56" s="698"/>
      <c r="D56" s="698"/>
      <c r="E56" s="698"/>
      <c r="F56" s="698"/>
    </row>
    <row r="57" spans="1:8" ht="16.5" customHeight="1" x14ac:dyDescent="0.3">
      <c r="A57" s="673"/>
      <c r="B57" s="697" t="s">
        <v>24</v>
      </c>
      <c r="C57" s="698"/>
      <c r="D57" s="698"/>
      <c r="E57" s="698"/>
      <c r="F57" s="698"/>
    </row>
    <row r="58" spans="1:8" ht="14.25" customHeight="1" thickBot="1" x14ac:dyDescent="0.3">
      <c r="A58" s="699"/>
      <c r="B58" s="700"/>
      <c r="D58" s="701"/>
      <c r="E58" s="711"/>
      <c r="G58" s="702"/>
      <c r="H58" s="702"/>
    </row>
    <row r="59" spans="1:8" ht="15" customHeight="1" x14ac:dyDescent="0.3">
      <c r="B59" s="703" t="s">
        <v>26</v>
      </c>
      <c r="C59" s="703"/>
      <c r="F59" s="704" t="s">
        <v>27</v>
      </c>
      <c r="G59" s="705"/>
      <c r="H59" s="704" t="s">
        <v>28</v>
      </c>
    </row>
    <row r="60" spans="1:8" ht="15" customHeight="1" x14ac:dyDescent="0.3">
      <c r="A60" s="706" t="s">
        <v>29</v>
      </c>
      <c r="B60" s="707" t="s">
        <v>141</v>
      </c>
      <c r="C60" s="707"/>
      <c r="F60" s="708">
        <v>43006</v>
      </c>
      <c r="H60" s="707"/>
    </row>
    <row r="61" spans="1:8" ht="15" customHeight="1" x14ac:dyDescent="0.3">
      <c r="A61" s="706" t="s">
        <v>30</v>
      </c>
      <c r="B61" s="709"/>
      <c r="C61" s="709"/>
      <c r="F61" s="709"/>
      <c r="H61" s="71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4" sqref="E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1836.06</v>
      </c>
      <c r="D24" s="39">
        <f t="shared" ref="D24:D43" si="0">(C24-$C$46)/$C$46</f>
        <v>9.8323217063722582E-4</v>
      </c>
      <c r="E24" s="5"/>
    </row>
    <row r="25" spans="1:5" ht="15.75" customHeight="1" x14ac:dyDescent="0.3">
      <c r="C25" s="47">
        <v>1831.53</v>
      </c>
      <c r="D25" s="40">
        <f t="shared" si="0"/>
        <v>-1.4864333314340351E-3</v>
      </c>
      <c r="E25" s="5"/>
    </row>
    <row r="26" spans="1:5" ht="15.75" customHeight="1" x14ac:dyDescent="0.3">
      <c r="C26" s="47">
        <v>1835.19</v>
      </c>
      <c r="D26" s="40">
        <f t="shared" si="0"/>
        <v>5.0892555103419269E-4</v>
      </c>
      <c r="E26" s="5"/>
    </row>
    <row r="27" spans="1:5" ht="15.75" customHeight="1" x14ac:dyDescent="0.3">
      <c r="C27" s="47">
        <v>1793.9</v>
      </c>
      <c r="D27" s="40">
        <f t="shared" si="0"/>
        <v>-2.2001557579324062E-2</v>
      </c>
      <c r="E27" s="5"/>
    </row>
    <row r="28" spans="1:5" ht="15.75" customHeight="1" x14ac:dyDescent="0.3">
      <c r="C28" s="47">
        <v>1817.96</v>
      </c>
      <c r="D28" s="40">
        <f t="shared" si="0"/>
        <v>-8.8845262371971823E-3</v>
      </c>
      <c r="E28" s="5"/>
    </row>
    <row r="29" spans="1:5" ht="15.75" customHeight="1" x14ac:dyDescent="0.3">
      <c r="C29" s="47">
        <v>1848.62</v>
      </c>
      <c r="D29" s="40">
        <f t="shared" si="0"/>
        <v>7.8306932536427645E-3</v>
      </c>
      <c r="E29" s="5"/>
    </row>
    <row r="30" spans="1:5" ht="15.75" customHeight="1" x14ac:dyDescent="0.3">
      <c r="C30" s="47">
        <v>1841.06</v>
      </c>
      <c r="D30" s="40">
        <f t="shared" si="0"/>
        <v>3.7091322832986783E-3</v>
      </c>
      <c r="E30" s="5"/>
    </row>
    <row r="31" spans="1:5" ht="15.75" customHeight="1" x14ac:dyDescent="0.3">
      <c r="C31" s="47">
        <v>1838.75</v>
      </c>
      <c r="D31" s="40">
        <f t="shared" si="0"/>
        <v>2.4497664312491171E-3</v>
      </c>
      <c r="E31" s="5"/>
    </row>
    <row r="32" spans="1:5" ht="15.75" customHeight="1" x14ac:dyDescent="0.3">
      <c r="C32" s="47">
        <v>1826.62</v>
      </c>
      <c r="D32" s="40">
        <f t="shared" si="0"/>
        <v>-4.1632672420676264E-3</v>
      </c>
      <c r="E32" s="5"/>
    </row>
    <row r="33" spans="1:7" ht="15.75" customHeight="1" x14ac:dyDescent="0.3">
      <c r="C33" s="47">
        <v>1817.45</v>
      </c>
      <c r="D33" s="40">
        <f t="shared" si="0"/>
        <v>-9.1625680486886445E-3</v>
      </c>
      <c r="E33" s="5"/>
    </row>
    <row r="34" spans="1:7" ht="15.75" customHeight="1" x14ac:dyDescent="0.3">
      <c r="C34" s="47">
        <v>1849.35</v>
      </c>
      <c r="D34" s="40">
        <f t="shared" si="0"/>
        <v>8.2286746700913471E-3</v>
      </c>
      <c r="E34" s="5"/>
    </row>
    <row r="35" spans="1:7" ht="15.75" customHeight="1" x14ac:dyDescent="0.3">
      <c r="C35" s="47">
        <v>1844.04</v>
      </c>
      <c r="D35" s="40">
        <f t="shared" si="0"/>
        <v>5.3337687504449137E-3</v>
      </c>
      <c r="E35" s="5"/>
    </row>
    <row r="36" spans="1:7" ht="15.75" customHeight="1" x14ac:dyDescent="0.3">
      <c r="C36" s="47">
        <v>1848.88</v>
      </c>
      <c r="D36" s="40">
        <f t="shared" si="0"/>
        <v>7.9724400595012797E-3</v>
      </c>
      <c r="E36" s="5"/>
    </row>
    <row r="37" spans="1:7" ht="15.75" customHeight="1" x14ac:dyDescent="0.3">
      <c r="C37" s="47">
        <v>1842.08</v>
      </c>
      <c r="D37" s="40">
        <f t="shared" si="0"/>
        <v>4.2652159062816046E-3</v>
      </c>
      <c r="E37" s="5"/>
    </row>
    <row r="38" spans="1:7" ht="15.75" customHeight="1" x14ac:dyDescent="0.3">
      <c r="C38" s="47">
        <v>1849.76</v>
      </c>
      <c r="D38" s="40">
        <f t="shared" si="0"/>
        <v>8.4521984793296309E-3</v>
      </c>
      <c r="E38" s="5"/>
    </row>
    <row r="39" spans="1:7" ht="15.75" customHeight="1" x14ac:dyDescent="0.3">
      <c r="C39" s="47">
        <v>1847.08</v>
      </c>
      <c r="D39" s="40">
        <f t="shared" si="0"/>
        <v>6.9911160189430567E-3</v>
      </c>
      <c r="E39" s="5"/>
    </row>
    <row r="40" spans="1:7" ht="15.75" customHeight="1" x14ac:dyDescent="0.3">
      <c r="C40" s="47">
        <v>1822.43</v>
      </c>
      <c r="D40" s="40">
        <f t="shared" si="0"/>
        <v>-6.4475715364778292E-3</v>
      </c>
      <c r="E40" s="5"/>
    </row>
    <row r="41" spans="1:7" ht="15.75" customHeight="1" x14ac:dyDescent="0.3">
      <c r="C41" s="47">
        <v>1844.59</v>
      </c>
      <c r="D41" s="40">
        <f t="shared" si="0"/>
        <v>5.6336177628376486E-3</v>
      </c>
      <c r="E41" s="5"/>
    </row>
    <row r="42" spans="1:7" ht="15.75" customHeight="1" x14ac:dyDescent="0.3">
      <c r="C42" s="47">
        <v>1832.31</v>
      </c>
      <c r="D42" s="40">
        <f t="shared" si="0"/>
        <v>-1.0611929138588634E-3</v>
      </c>
      <c r="E42" s="5"/>
    </row>
    <row r="43" spans="1:7" ht="16.5" customHeight="1" x14ac:dyDescent="0.3">
      <c r="C43" s="48">
        <v>1817.47</v>
      </c>
      <c r="D43" s="41">
        <f t="shared" si="0"/>
        <v>-9.1516644482380095E-3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36685.12999999999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1834.2564999999995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1834.2564999999995</v>
      </c>
      <c r="C49" s="45">
        <f>-IF(C46&lt;=80,10%,IF(C46&lt;250,7.5%,5%))</f>
        <v>-0.05</v>
      </c>
      <c r="D49" s="33">
        <f>IF(C46&lt;=80,C46*0.9,IF(C46&lt;250,C46*0.925,C46*0.95))</f>
        <v>1742.5436749999994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1925.9693249999996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137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137</v>
      </c>
      <c r="C26" s="654"/>
    </row>
    <row r="27" spans="1:14" ht="26.25" customHeight="1" x14ac:dyDescent="0.4">
      <c r="A27" s="61" t="s">
        <v>48</v>
      </c>
      <c r="B27" s="660" t="s">
        <v>138</v>
      </c>
      <c r="C27" s="660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638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663">
        <v>11.3</v>
      </c>
      <c r="E43" s="92"/>
      <c r="F43" s="104">
        <v>12.58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 xml:space="preserve"> Tenofovir Disproxil Fumarate</v>
      </c>
      <c r="H56" s="131"/>
    </row>
    <row r="57" spans="1:12" ht="18.75" x14ac:dyDescent="0.3">
      <c r="A57" s="128" t="s">
        <v>88</v>
      </c>
      <c r="B57" s="199">
        <f>Uniformity!C46</f>
        <v>1834.2564999999995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41" t="s">
        <v>94</v>
      </c>
      <c r="D60" s="644">
        <v>1821.27</v>
      </c>
      <c r="E60" s="134">
        <v>1</v>
      </c>
      <c r="F60" s="135">
        <v>10292574</v>
      </c>
      <c r="G60" s="200">
        <f>IF(ISBLANK(F60),"-",(F60/$D$50*$D$47*$B$68)*($B$57/$D$60))</f>
        <v>294.75528166444025</v>
      </c>
      <c r="H60" s="218">
        <f t="shared" ref="H60:H71" si="0">IF(ISBLANK(F60),"-",(G60/$B$56)*100)</f>
        <v>98.251760554813416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42"/>
      <c r="D61" s="645"/>
      <c r="E61" s="136">
        <v>2</v>
      </c>
      <c r="F61" s="89">
        <v>10239052</v>
      </c>
      <c r="G61" s="201">
        <f>IF(ISBLANK(F61),"-",(F61/$D$50*$D$47*$B$68)*($B$57/$D$60))</f>
        <v>293.22253658189391</v>
      </c>
      <c r="H61" s="219">
        <f t="shared" si="0"/>
        <v>97.740845527297964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10255584</v>
      </c>
      <c r="G62" s="201">
        <f>IF(ISBLANK(F62),"-",(F62/$D$50*$D$47*$B$68)*($B$57/$D$60))</f>
        <v>293.69597445238935</v>
      </c>
      <c r="H62" s="219">
        <f t="shared" si="0"/>
        <v>97.89865815079645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1832.88</v>
      </c>
      <c r="E64" s="134">
        <v>1</v>
      </c>
      <c r="F64" s="135">
        <v>9898295</v>
      </c>
      <c r="G64" s="200">
        <f>IF(ISBLANK(F64),"-",(F64/$D$50*$D$47*$B$68)*($B$57/$D$64))</f>
        <v>281.66850739801833</v>
      </c>
      <c r="H64" s="218">
        <f t="shared" si="0"/>
        <v>93.889502466006121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10002074</v>
      </c>
      <c r="G65" s="201">
        <f>IF(ISBLANK(F65),"-",(F65/$D$50*$D$47*$B$68)*($B$57/$D$64))</f>
        <v>284.62167014263838</v>
      </c>
      <c r="H65" s="219">
        <f t="shared" si="0"/>
        <v>94.873890047546126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10297669</v>
      </c>
      <c r="G66" s="201">
        <f>IF(ISBLANK(F66),"-",(F66/$D$50*$D$47*$B$68)*($B$57/$D$64))</f>
        <v>293.03319984995841</v>
      </c>
      <c r="H66" s="219">
        <f t="shared" si="0"/>
        <v>97.677733283319469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41" t="s">
        <v>104</v>
      </c>
      <c r="D68" s="644">
        <v>1836.81</v>
      </c>
      <c r="E68" s="134">
        <v>1</v>
      </c>
      <c r="F68" s="135">
        <v>10101724</v>
      </c>
      <c r="G68" s="200">
        <f>IF(ISBLANK(F68),"-",(F68/$D$50*$D$47*$B$68)*($B$57/$D$68))</f>
        <v>286.8422993028546</v>
      </c>
      <c r="H68" s="219">
        <f t="shared" si="0"/>
        <v>95.6140997676182</v>
      </c>
    </row>
    <row r="69" spans="1:8" ht="27" customHeight="1" x14ac:dyDescent="0.4">
      <c r="A69" s="124" t="s">
        <v>105</v>
      </c>
      <c r="B69" s="141">
        <f>(D47*B68)/B56*B57</f>
        <v>1834.2564999999995</v>
      </c>
      <c r="C69" s="642"/>
      <c r="D69" s="645"/>
      <c r="E69" s="136">
        <v>2</v>
      </c>
      <c r="F69" s="89">
        <v>10184046</v>
      </c>
      <c r="G69" s="201">
        <f>IF(ISBLANK(F69),"-",(F69/$D$50*$D$47*$B$68)*($B$57/$D$68))</f>
        <v>289.17986383770125</v>
      </c>
      <c r="H69" s="219">
        <f t="shared" si="0"/>
        <v>96.393287945900425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10169609</v>
      </c>
      <c r="G70" s="201">
        <f>IF(ISBLANK(F70),"-",(F70/$D$50*$D$47*$B$68)*($B$57/$D$68))</f>
        <v>288.76991972568283</v>
      </c>
      <c r="H70" s="219">
        <f t="shared" si="0"/>
        <v>96.256639908560942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289.53213921728639</v>
      </c>
      <c r="H72" s="221">
        <f>AVERAGE(H60:H71)</f>
        <v>96.510713072428786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1.5656303191244503E-2</v>
      </c>
      <c r="H73" s="205">
        <f>STDEV(H60:H71)/H72</f>
        <v>1.5656303191244478E-2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 xml:space="preserve"> Tenofovir Disproxil Fumarate</v>
      </c>
      <c r="D76" s="628"/>
      <c r="E76" s="150" t="s">
        <v>108</v>
      </c>
      <c r="F76" s="150"/>
      <c r="G76" s="237">
        <f>H72</f>
        <v>96.510713072428786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 xml:space="preserve"> Tenofovir Disproxil Fumarate</v>
      </c>
      <c r="C79" s="662"/>
    </row>
    <row r="80" spans="1:8" ht="26.25" customHeight="1" x14ac:dyDescent="0.4">
      <c r="A80" s="61" t="s">
        <v>48</v>
      </c>
      <c r="B80" s="662" t="str">
        <f>B27</f>
        <v>T11-10</v>
      </c>
      <c r="C80" s="662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38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3645795</v>
      </c>
      <c r="E108" s="202">
        <f t="shared" ref="E108:E113" si="1">IF(ISBLANK(D108),"-",D108/$D$103*$D$100*$B$116)</f>
        <v>303.7967492860671</v>
      </c>
      <c r="F108" s="229">
        <f t="shared" ref="F108:F113" si="2">IF(ISBLANK(D108), "-", (E108/$B$56)*100)</f>
        <v>101.26558309535569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3676040</v>
      </c>
      <c r="E109" s="203">
        <f t="shared" si="1"/>
        <v>306.3170041775673</v>
      </c>
      <c r="F109" s="230">
        <f t="shared" si="2"/>
        <v>102.1056680591891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3700589</v>
      </c>
      <c r="E110" s="203">
        <f t="shared" si="1"/>
        <v>308.36262286929946</v>
      </c>
      <c r="F110" s="230">
        <f t="shared" si="2"/>
        <v>102.78754095643315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3676067</v>
      </c>
      <c r="E111" s="203">
        <f t="shared" si="1"/>
        <v>306.31925403314909</v>
      </c>
      <c r="F111" s="230">
        <f t="shared" si="2"/>
        <v>102.1064180110497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3682007</v>
      </c>
      <c r="E112" s="203">
        <f t="shared" si="1"/>
        <v>306.81422226113756</v>
      </c>
      <c r="F112" s="230">
        <f t="shared" si="2"/>
        <v>102.27140742037919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3677924</v>
      </c>
      <c r="E113" s="204">
        <f t="shared" si="1"/>
        <v>306.47399410038383</v>
      </c>
      <c r="F113" s="231">
        <f t="shared" si="2"/>
        <v>102.15799803346128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306.34730778793403</v>
      </c>
      <c r="F115" s="233">
        <f>AVERAGE(F108:F113)</f>
        <v>102.11576926264468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4.7980550502475672E-3</v>
      </c>
      <c r="F116" s="187">
        <f>STDEV(F108:F113)/F115</f>
        <v>4.7980550502475742E-3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303.7967492860671</v>
      </c>
      <c r="F119" s="234">
        <f>MIN(F108:F113)</f>
        <v>101.26558309535569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308.36262286929946</v>
      </c>
      <c r="F120" s="235">
        <f>MAX(F108:F113)</f>
        <v>102.78754095643315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 xml:space="preserve"> Tenofovir Disproxil Fumarate</v>
      </c>
      <c r="D124" s="628"/>
      <c r="E124" s="150" t="s">
        <v>127</v>
      </c>
      <c r="F124" s="150"/>
      <c r="G124" s="236">
        <f>F115</f>
        <v>102.11576926264468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101.26558309535569</v>
      </c>
      <c r="E125" s="161" t="s">
        <v>130</v>
      </c>
      <c r="F125" s="236">
        <f>MAX(F108:F113)</f>
        <v>102.78754095643315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134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135</v>
      </c>
      <c r="C26" s="654"/>
    </row>
    <row r="27" spans="1:14" ht="26.25" customHeight="1" x14ac:dyDescent="0.4">
      <c r="A27" s="249" t="s">
        <v>48</v>
      </c>
      <c r="B27" s="660" t="s">
        <v>136</v>
      </c>
      <c r="C27" s="660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638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Lamivudine</v>
      </c>
      <c r="H56" s="319"/>
    </row>
    <row r="57" spans="1:12" ht="18.75" x14ac:dyDescent="0.3">
      <c r="A57" s="316" t="s">
        <v>88</v>
      </c>
      <c r="B57" s="387">
        <f>Uniformity!C46</f>
        <v>1834.2564999999995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41" t="s">
        <v>94</v>
      </c>
      <c r="D60" s="644">
        <v>1821.27</v>
      </c>
      <c r="E60" s="322">
        <v>1</v>
      </c>
      <c r="F60" s="323">
        <v>19941890</v>
      </c>
      <c r="G60" s="388">
        <f>IF(ISBLANK(F60),"-",(F60/$D$50*$D$47*$B$68)*($B$57/$D$60))</f>
        <v>293.13866213999995</v>
      </c>
      <c r="H60" s="406">
        <f t="shared" ref="H60:H71" si="0">IF(ISBLANK(F60),"-",(G60/$B$56)*100)</f>
        <v>97.712887379999984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42"/>
      <c r="D61" s="645"/>
      <c r="E61" s="324">
        <v>2</v>
      </c>
      <c r="F61" s="277">
        <v>19876736</v>
      </c>
      <c r="G61" s="389">
        <f>IF(ISBLANK(F61),"-",(F61/$D$50*$D$47*$B$68)*($B$57/$D$60))</f>
        <v>292.18092160522269</v>
      </c>
      <c r="H61" s="407">
        <f t="shared" si="0"/>
        <v>97.393640535074226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19925737</v>
      </c>
      <c r="G62" s="389">
        <f>IF(ISBLANK(F62),"-",(F62/$D$50*$D$47*$B$68)*($B$57/$D$60))</f>
        <v>292.90121880792123</v>
      </c>
      <c r="H62" s="407">
        <f t="shared" si="0"/>
        <v>97.633739602640418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1832.88</v>
      </c>
      <c r="E64" s="322">
        <v>1</v>
      </c>
      <c r="F64" s="323">
        <v>19287856</v>
      </c>
      <c r="G64" s="388">
        <f>IF(ISBLANK(F64),"-",(F64/$D$50*$D$47*$B$68)*($B$57/$D$64))</f>
        <v>281.72866785792939</v>
      </c>
      <c r="H64" s="406">
        <f t="shared" si="0"/>
        <v>93.909555952643132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19475642</v>
      </c>
      <c r="G65" s="389">
        <f>IF(ISBLANK(F65),"-",(F65/$D$50*$D$47*$B$68)*($B$57/$D$64))</f>
        <v>284.47156990066389</v>
      </c>
      <c r="H65" s="407">
        <f t="shared" si="0"/>
        <v>94.823856633554627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19937692</v>
      </c>
      <c r="G66" s="389">
        <f>IF(ISBLANK(F66),"-",(F66/$D$50*$D$47*$B$68)*($B$57/$D$64))</f>
        <v>291.22051757964675</v>
      </c>
      <c r="H66" s="407">
        <f t="shared" si="0"/>
        <v>97.073505859882246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641" t="s">
        <v>104</v>
      </c>
      <c r="D68" s="644">
        <v>1836.81</v>
      </c>
      <c r="E68" s="322">
        <v>1</v>
      </c>
      <c r="F68" s="323">
        <v>19412111</v>
      </c>
      <c r="G68" s="388">
        <f>IF(ISBLANK(F68),"-",(F68/$D$50*$D$47*$B$68)*($B$57/$D$68))</f>
        <v>282.93693845418971</v>
      </c>
      <c r="H68" s="407">
        <f t="shared" si="0"/>
        <v>94.312312818063234</v>
      </c>
    </row>
    <row r="69" spans="1:8" ht="27" customHeight="1" x14ac:dyDescent="0.4">
      <c r="A69" s="312" t="s">
        <v>105</v>
      </c>
      <c r="B69" s="329">
        <f>(D47*B68)/B56*B57</f>
        <v>1834.2564999999995</v>
      </c>
      <c r="C69" s="642"/>
      <c r="D69" s="645"/>
      <c r="E69" s="324">
        <v>2</v>
      </c>
      <c r="F69" s="277">
        <v>19524316</v>
      </c>
      <c r="G69" s="389">
        <f>IF(ISBLANK(F69),"-",(F69/$D$50*$D$47*$B$68)*($B$57/$D$68))</f>
        <v>284.57235766126377</v>
      </c>
      <c r="H69" s="407">
        <f t="shared" si="0"/>
        <v>94.857452553754584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19507983</v>
      </c>
      <c r="G70" s="389">
        <f>IF(ISBLANK(F70),"-",(F70/$D$50*$D$47*$B$68)*($B$57/$D$68))</f>
        <v>284.33429962544415</v>
      </c>
      <c r="H70" s="407">
        <f t="shared" si="0"/>
        <v>94.778099875148044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287.49835040358681</v>
      </c>
      <c r="H72" s="409">
        <f>AVERAGE(H60:H71)</f>
        <v>95.832783467862271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1.643533109023108E-2</v>
      </c>
      <c r="H73" s="393">
        <f>STDEV(H60:H71)/H72</f>
        <v>1.6435331090231101E-2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LAMIVUDINE</v>
      </c>
      <c r="D76" s="628"/>
      <c r="E76" s="338" t="s">
        <v>108</v>
      </c>
      <c r="F76" s="338"/>
      <c r="G76" s="425">
        <f>H72</f>
        <v>95.832783467862271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LAMIVUDINE</v>
      </c>
      <c r="C79" s="662"/>
    </row>
    <row r="80" spans="1:8" ht="26.25" customHeight="1" x14ac:dyDescent="0.4">
      <c r="A80" s="249" t="s">
        <v>48</v>
      </c>
      <c r="B80" s="662" t="str">
        <f>B27</f>
        <v>L3-10</v>
      </c>
      <c r="C80" s="662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38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3674472</v>
      </c>
      <c r="E108" s="390">
        <f t="shared" ref="E108:E113" si="1">IF(ISBLANK(D108),"-",D108/$D$103*$D$100*$B$116)</f>
        <v>296.87840893040823</v>
      </c>
      <c r="F108" s="417">
        <f t="shared" ref="F108:F113" si="2">IF(ISBLANK(D108), "-", (E108/$B$56)*100)</f>
        <v>98.959469643469404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3668362</v>
      </c>
      <c r="E109" s="391">
        <f t="shared" si="1"/>
        <v>296.38475240545313</v>
      </c>
      <c r="F109" s="418">
        <f t="shared" si="2"/>
        <v>98.794917468484371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3691984</v>
      </c>
      <c r="E110" s="391">
        <f t="shared" si="1"/>
        <v>298.29328831911749</v>
      </c>
      <c r="F110" s="418">
        <f t="shared" si="2"/>
        <v>99.431096106372493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3681070</v>
      </c>
      <c r="E111" s="391">
        <f t="shared" si="1"/>
        <v>297.41149334148088</v>
      </c>
      <c r="F111" s="418">
        <f t="shared" si="2"/>
        <v>99.137164447160302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3701670</v>
      </c>
      <c r="E112" s="391">
        <f t="shared" si="1"/>
        <v>299.07586722267149</v>
      </c>
      <c r="F112" s="418">
        <f t="shared" si="2"/>
        <v>99.691955740890492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3696007</v>
      </c>
      <c r="E113" s="392">
        <f t="shared" si="1"/>
        <v>298.61832599504129</v>
      </c>
      <c r="F113" s="419">
        <f t="shared" si="2"/>
        <v>99.539441998347101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297.7770227023621</v>
      </c>
      <c r="F115" s="421">
        <f>AVERAGE(F108:F113)</f>
        <v>99.25900756745402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3.5351850230715205E-3</v>
      </c>
      <c r="F116" s="375">
        <f>STDEV(F108:F113)/F115</f>
        <v>3.5351850230715262E-3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296.38475240545313</v>
      </c>
      <c r="F119" s="422">
        <f>MIN(F108:F113)</f>
        <v>98.794917468484371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299.07586722267149</v>
      </c>
      <c r="F120" s="423">
        <f>MAX(F108:F113)</f>
        <v>99.691955740890492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LAMIVUDINE</v>
      </c>
      <c r="D124" s="628"/>
      <c r="E124" s="338" t="s">
        <v>127</v>
      </c>
      <c r="F124" s="338"/>
      <c r="G124" s="424">
        <f>F115</f>
        <v>99.25900756745402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98.794917468484371</v>
      </c>
      <c r="E125" s="349" t="s">
        <v>130</v>
      </c>
      <c r="F125" s="424">
        <f>MAX(F108:F113)</f>
        <v>99.691955740890492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131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132</v>
      </c>
      <c r="C26" s="654"/>
    </row>
    <row r="27" spans="1:14" ht="26.25" customHeight="1" x14ac:dyDescent="0.4">
      <c r="A27" s="437" t="s">
        <v>48</v>
      </c>
      <c r="B27" s="660" t="s">
        <v>133</v>
      </c>
      <c r="C27" s="660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100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1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1</v>
      </c>
      <c r="C38" s="459">
        <v>1</v>
      </c>
      <c r="D38" s="460">
        <v>4101143</v>
      </c>
      <c r="E38" s="461">
        <f>IF(ISBLANK(D38),"-",$D$48/$D$45*D38)</f>
        <v>4210077.8882591454</v>
      </c>
      <c r="F38" s="460">
        <v>4584981</v>
      </c>
      <c r="G38" s="462">
        <f>IF(ISBLANK(F38),"-",$D$48/$F$45*F38)</f>
        <v>4276454.9130021138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4152489</v>
      </c>
      <c r="E39" s="466">
        <f>IF(ISBLANK(D39),"-",$D$48/$D$45*D39)</f>
        <v>4262787.7448163433</v>
      </c>
      <c r="F39" s="465">
        <v>4558801</v>
      </c>
      <c r="G39" s="467">
        <f>IF(ISBLANK(F39),"-",$D$48/$F$45*F39)</f>
        <v>4252036.5807075202</v>
      </c>
      <c r="I39" s="638">
        <f>ABS((F43/D43*D42)-F42)/D42</f>
        <v>5.8841452260763628E-3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4156496</v>
      </c>
      <c r="E40" s="466">
        <f>IF(ISBLANK(D40),"-",$D$48/$D$45*D40)</f>
        <v>4266901.1790707093</v>
      </c>
      <c r="F40" s="465">
        <v>4588122</v>
      </c>
      <c r="G40" s="467">
        <f>IF(ISBLANK(F40),"-",$D$48/$F$45*F40)</f>
        <v>4279384.5532518197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4136709.3333333335</v>
      </c>
      <c r="E42" s="476">
        <f>AVERAGE(E38:E41)</f>
        <v>4246588.9373820657</v>
      </c>
      <c r="F42" s="475">
        <f>AVERAGE(F38:F41)</f>
        <v>4577301.333333333</v>
      </c>
      <c r="G42" s="477">
        <f>AVERAGE(G38:G41)</f>
        <v>4269292.0156538179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24.05</v>
      </c>
      <c r="E43" s="468"/>
      <c r="F43" s="480">
        <v>26.47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24.05</v>
      </c>
      <c r="E44" s="483"/>
      <c r="F44" s="482">
        <f>F43*$B$34</f>
        <v>26.47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23.379004999999996</v>
      </c>
      <c r="E45" s="486"/>
      <c r="F45" s="485">
        <f>F44*$B$30/100</f>
        <v>25.731486999999998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0.23379004999999997</v>
      </c>
      <c r="E46" s="488"/>
      <c r="F46" s="489">
        <f>F45/$B$45</f>
        <v>0.25731486999999997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0.24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24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4257940.4765179418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5.9711534421229518E-3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505" t="s">
        <v>87</v>
      </c>
      <c r="B56" s="506">
        <v>600</v>
      </c>
      <c r="C56" s="427" t="str">
        <f>B20</f>
        <v>Efavirenz</v>
      </c>
      <c r="H56" s="507"/>
    </row>
    <row r="57" spans="1:12" ht="18.75" x14ac:dyDescent="0.3">
      <c r="A57" s="504" t="s">
        <v>88</v>
      </c>
      <c r="B57" s="575">
        <f>Uniformity!C46</f>
        <v>1834.2564999999995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200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4</v>
      </c>
      <c r="C60" s="641" t="s">
        <v>94</v>
      </c>
      <c r="D60" s="644">
        <v>1821.27</v>
      </c>
      <c r="E60" s="510">
        <v>1</v>
      </c>
      <c r="F60" s="511">
        <v>4022629</v>
      </c>
      <c r="G60" s="576">
        <f>IF(ISBLANK(F60),"-",(F60/$D$50*$D$47*$B$68)*($B$57/$D$60))</f>
        <v>570.88335075210568</v>
      </c>
      <c r="H60" s="594">
        <f t="shared" ref="H60:H71" si="0">IF(ISBLANK(F60),"-",(G60/$B$56)*100)</f>
        <v>95.147225125350943</v>
      </c>
      <c r="L60" s="440"/>
    </row>
    <row r="61" spans="1:12" s="3" customFormat="1" ht="26.25" customHeight="1" x14ac:dyDescent="0.4">
      <c r="A61" s="452" t="s">
        <v>95</v>
      </c>
      <c r="B61" s="453">
        <v>50</v>
      </c>
      <c r="C61" s="642"/>
      <c r="D61" s="645"/>
      <c r="E61" s="512">
        <v>2</v>
      </c>
      <c r="F61" s="465">
        <v>4001169</v>
      </c>
      <c r="G61" s="577">
        <f>IF(ISBLANK(F61),"-",(F61/$D$50*$D$47*$B$68)*($B$57/$D$60))</f>
        <v>567.83779106784436</v>
      </c>
      <c r="H61" s="595">
        <f t="shared" si="0"/>
        <v>94.639631844640732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4007720</v>
      </c>
      <c r="G62" s="577">
        <f>IF(ISBLANK(F62),"-",(F62/$D$50*$D$47*$B$68)*($B$57/$D$60))</f>
        <v>568.7674957039859</v>
      </c>
      <c r="H62" s="595">
        <f t="shared" si="0"/>
        <v>94.794582617330974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1832.88</v>
      </c>
      <c r="E64" s="510">
        <v>1</v>
      </c>
      <c r="F64" s="511">
        <v>4111320</v>
      </c>
      <c r="G64" s="576">
        <f>IF(ISBLANK(F64),"-",(F64/$D$50*$D$47*$B$68)*($B$57/$D$64))</f>
        <v>579.77432610643245</v>
      </c>
      <c r="H64" s="594">
        <f t="shared" si="0"/>
        <v>96.629054351072071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4143256</v>
      </c>
      <c r="G65" s="577">
        <f>IF(ISBLANK(F65),"-",(F65/$D$50*$D$47*$B$68)*($B$57/$D$64))</f>
        <v>584.27790959750962</v>
      </c>
      <c r="H65" s="595">
        <f t="shared" si="0"/>
        <v>97.379651599584932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4230950</v>
      </c>
      <c r="G66" s="577">
        <f>IF(ISBLANK(F66),"-",(F66/$D$50*$D$47*$B$68)*($B$57/$D$64))</f>
        <v>596.64443172509323</v>
      </c>
      <c r="H66" s="595">
        <f t="shared" si="0"/>
        <v>99.440738620848862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2500</v>
      </c>
      <c r="C68" s="641" t="s">
        <v>104</v>
      </c>
      <c r="D68" s="644">
        <v>1836.81</v>
      </c>
      <c r="E68" s="510">
        <v>1</v>
      </c>
      <c r="F68" s="511">
        <v>4114465</v>
      </c>
      <c r="G68" s="576">
        <f>IF(ISBLANK(F68),"-",(F68/$D$50*$D$47*$B$68)*($B$57/$D$68))</f>
        <v>578.97640907711138</v>
      </c>
      <c r="H68" s="595">
        <f t="shared" si="0"/>
        <v>96.496068179518574</v>
      </c>
    </row>
    <row r="69" spans="1:8" ht="27" customHeight="1" x14ac:dyDescent="0.4">
      <c r="A69" s="500" t="s">
        <v>105</v>
      </c>
      <c r="B69" s="517">
        <f>(D47*B68)/B56*B57</f>
        <v>1834.2564999999995</v>
      </c>
      <c r="C69" s="642"/>
      <c r="D69" s="645"/>
      <c r="E69" s="512">
        <v>2</v>
      </c>
      <c r="F69" s="465">
        <v>4138085</v>
      </c>
      <c r="G69" s="577">
        <f>IF(ISBLANK(F69),"-",(F69/$D$50*$D$47*$B$68)*($B$57/$D$68))</f>
        <v>582.30015172224296</v>
      </c>
      <c r="H69" s="595">
        <f t="shared" si="0"/>
        <v>97.050025287040498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4135789</v>
      </c>
      <c r="G70" s="577">
        <f>IF(ISBLANK(F70),"-",(F70/$D$50*$D$47*$B$68)*($B$57/$D$68))</f>
        <v>581.97706479958333</v>
      </c>
      <c r="H70" s="595">
        <f t="shared" si="0"/>
        <v>96.996177466597217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579.04877006132324</v>
      </c>
      <c r="H72" s="597">
        <f>AVERAGE(H60:H71)</f>
        <v>96.508128343553878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1.5622806069929397E-2</v>
      </c>
      <c r="H73" s="581">
        <f>STDEV(H60:H71)/H72</f>
        <v>1.5622806069929379E-2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EFAVIRENZ</v>
      </c>
      <c r="D76" s="628"/>
      <c r="E76" s="526" t="s">
        <v>108</v>
      </c>
      <c r="F76" s="526"/>
      <c r="G76" s="613">
        <f>H72</f>
        <v>96.508128343553878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EFAVIRENZ</v>
      </c>
      <c r="C79" s="662"/>
    </row>
    <row r="80" spans="1:8" ht="26.25" customHeight="1" x14ac:dyDescent="0.4">
      <c r="A80" s="437" t="s">
        <v>48</v>
      </c>
      <c r="B80" s="662" t="str">
        <f>B27</f>
        <v>E15-6</v>
      </c>
      <c r="C80" s="662"/>
    </row>
    <row r="81" spans="1:12" ht="27" customHeight="1" x14ac:dyDescent="0.4">
      <c r="A81" s="437" t="s">
        <v>6</v>
      </c>
      <c r="B81" s="529">
        <f>B28</f>
        <v>97.21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50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38">
        <f>ABS((F96/D96*D95)-F95)/D95</f>
        <v>1.2160740467381385E-2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76</v>
      </c>
      <c r="B98" s="545">
        <f>(B97/B96)*(B95/B94)*(B93/B92)*(B91/B90)*B89</f>
        <v>50</v>
      </c>
      <c r="C98" s="543" t="s">
        <v>115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1000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2198845</v>
      </c>
      <c r="E108" s="578">
        <f t="shared" ref="E108:E113" si="1">IF(ISBLANK(D108),"-",D108/$D$103*$D$100*$B$116)</f>
        <v>584.34108875644415</v>
      </c>
      <c r="F108" s="605">
        <f t="shared" ref="F108:F113" si="2">IF(ISBLANK(D108), "-", (E108/$B$56)*100)</f>
        <v>97.390181459407358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2178779</v>
      </c>
      <c r="E109" s="579">
        <f t="shared" si="1"/>
        <v>579.00856723401455</v>
      </c>
      <c r="F109" s="606">
        <f t="shared" si="2"/>
        <v>96.501427872335753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2125245</v>
      </c>
      <c r="E110" s="579">
        <f t="shared" si="1"/>
        <v>564.78195469630157</v>
      </c>
      <c r="F110" s="606">
        <f t="shared" si="2"/>
        <v>94.130325782716923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2175766</v>
      </c>
      <c r="E111" s="579">
        <f t="shared" si="1"/>
        <v>578.20786518342732</v>
      </c>
      <c r="F111" s="606">
        <f t="shared" si="2"/>
        <v>96.36797753057121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2152347</v>
      </c>
      <c r="E112" s="579">
        <f t="shared" si="1"/>
        <v>571.98428691502409</v>
      </c>
      <c r="F112" s="606">
        <f t="shared" si="2"/>
        <v>95.330714485837348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2139289</v>
      </c>
      <c r="E113" s="580">
        <f t="shared" si="1"/>
        <v>568.51413511397334</v>
      </c>
      <c r="F113" s="607">
        <f t="shared" si="2"/>
        <v>94.75235585232889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574.47298298319743</v>
      </c>
      <c r="F115" s="609">
        <f>AVERAGE(F108:F113)</f>
        <v>95.745497163866233</v>
      </c>
    </row>
    <row r="116" spans="1:10" ht="27" customHeight="1" x14ac:dyDescent="0.4">
      <c r="A116" s="452" t="s">
        <v>103</v>
      </c>
      <c r="B116" s="484">
        <f>(B115/B114)*(B113/B112)*(B111/B110)*(B109/B108)*B107</f>
        <v>1000</v>
      </c>
      <c r="C116" s="562"/>
      <c r="D116" s="586" t="s">
        <v>84</v>
      </c>
      <c r="E116" s="584">
        <f>STDEV(E108:E113)/E115</f>
        <v>1.2732737952213321E-2</v>
      </c>
      <c r="F116" s="563">
        <f>STDEV(F108:F113)/F115</f>
        <v>1.2732737952213318E-2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564.78195469630157</v>
      </c>
      <c r="F119" s="610">
        <f>MIN(F108:F113)</f>
        <v>94.130325782716923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584.34108875644415</v>
      </c>
      <c r="F120" s="611">
        <f>MAX(F108:F113)</f>
        <v>97.390181459407358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EFAVIRENZ</v>
      </c>
      <c r="D124" s="628"/>
      <c r="E124" s="526" t="s">
        <v>127</v>
      </c>
      <c r="F124" s="526"/>
      <c r="G124" s="612">
        <f>F115</f>
        <v>95.745497163866233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94.130325782716923</v>
      </c>
      <c r="E125" s="537" t="s">
        <v>130</v>
      </c>
      <c r="F125" s="612">
        <f>MAX(F108:F113)</f>
        <v>97.390181459407358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TDF</vt:lpstr>
      <vt:lpstr>SST Lamivudine</vt:lpstr>
      <vt:lpstr>SST Efavirenz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2017-09-29T11:16:14Z</cp:lastPrinted>
  <dcterms:created xsi:type="dcterms:W3CDTF">2005-07-05T10:19:27Z</dcterms:created>
  <dcterms:modified xsi:type="dcterms:W3CDTF">2017-09-29T11:50:27Z</dcterms:modified>
</cp:coreProperties>
</file>