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20730" windowHeight="9405" activeTab="2"/>
  </bookViews>
  <sheets>
    <sheet name="SST" sheetId="1" r:id="rId1"/>
    <sheet name="Uniformity" sheetId="2" r:id="rId2"/>
    <sheet name="ABACAVIR" sheetId="3" r:id="rId3"/>
    <sheet name="Sheet1" sheetId="4" r:id="rId4"/>
  </sheets>
  <definedNames>
    <definedName name="_xlnm.Print_Area" localSheetId="2">ABACAVIR!$A$1:$I$129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41" i="2"/>
  <c r="B57" i="3"/>
  <c r="B69" i="3" s="1"/>
  <c r="D29" i="2"/>
  <c r="D33" i="2"/>
  <c r="D37" i="2"/>
  <c r="D35" i="2"/>
  <c r="D50" i="2"/>
  <c r="D24" i="2"/>
  <c r="D28" i="2"/>
  <c r="D32" i="2"/>
  <c r="D36" i="2"/>
  <c r="D40" i="2"/>
  <c r="D49" i="2"/>
  <c r="D27" i="2"/>
  <c r="D31" i="2"/>
  <c r="D39" i="2"/>
  <c r="D43" i="2"/>
  <c r="C49" i="2"/>
  <c r="D26" i="2"/>
  <c r="D30" i="2"/>
  <c r="D34" i="2"/>
  <c r="D38" i="2"/>
  <c r="D42" i="2"/>
  <c r="B49" i="2"/>
  <c r="I92" i="3"/>
  <c r="D101" i="3"/>
  <c r="D102" i="3" s="1"/>
  <c r="I39" i="3"/>
  <c r="F44" i="3"/>
  <c r="F45" i="3" s="1"/>
  <c r="D45" i="3"/>
  <c r="D46" i="3" s="1"/>
  <c r="F98" i="3"/>
  <c r="F99" i="3" s="1"/>
  <c r="E41" i="3"/>
  <c r="D49" i="3"/>
  <c r="D97" i="3"/>
  <c r="D98" i="3" s="1"/>
  <c r="D99" i="3" s="1"/>
  <c r="G92" i="3" l="1"/>
  <c r="G91" i="3"/>
  <c r="G94" i="3"/>
  <c r="E40" i="3"/>
  <c r="F46" i="3"/>
  <c r="G38" i="3"/>
  <c r="G40" i="3"/>
  <c r="G39" i="3"/>
  <c r="E38" i="3"/>
  <c r="E39" i="3"/>
  <c r="G41" i="3"/>
  <c r="G93" i="3"/>
  <c r="E93" i="3"/>
  <c r="E92" i="3"/>
  <c r="E94" i="3"/>
  <c r="E91" i="3"/>
  <c r="G95" i="3" l="1"/>
  <c r="D52" i="3"/>
  <c r="G42" i="3"/>
  <c r="E42" i="3"/>
  <c r="D50" i="3"/>
  <c r="G65" i="3" s="1"/>
  <c r="H65" i="3" s="1"/>
  <c r="D103" i="3"/>
  <c r="E95" i="3"/>
  <c r="D105" i="3"/>
  <c r="D51" i="3" l="1"/>
  <c r="G61" i="3"/>
  <c r="H61" i="3" s="1"/>
  <c r="G64" i="3"/>
  <c r="H64" i="3" s="1"/>
  <c r="G66" i="3"/>
  <c r="H66" i="3" s="1"/>
  <c r="G63" i="3"/>
  <c r="H63" i="3" s="1"/>
  <c r="G69" i="3"/>
  <c r="H69" i="3" s="1"/>
  <c r="G67" i="3"/>
  <c r="H67" i="3" s="1"/>
  <c r="G60" i="3"/>
  <c r="H60" i="3" s="1"/>
  <c r="G68" i="3"/>
  <c r="H68" i="3" s="1"/>
  <c r="G70" i="3"/>
  <c r="H70" i="3" s="1"/>
  <c r="G62" i="3"/>
  <c r="H62" i="3" s="1"/>
  <c r="G71" i="3"/>
  <c r="H7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<sst xmlns="http://schemas.openxmlformats.org/spreadsheetml/2006/main" count="239" uniqueCount="134">
  <si>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</si>
  <si>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</si>
  <si>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</si>
  <si>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</si>
  <si>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</si>
  <si>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</si>
  <si>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</si>
  <si>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NDQB201707040</t>
  </si>
  <si>
    <t>Weight (mg):</t>
  </si>
  <si>
    <t xml:space="preserve">Abacavir Sulfate </t>
  </si>
  <si>
    <t>Standard Conc (mg/mL):</t>
  </si>
  <si>
    <t>Abacavir Sulfate 300mg</t>
  </si>
  <si>
    <t>2017-07-19 14:00:33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</si>
  <si>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</si>
  <si>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</si>
  <si>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</si>
  <si>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</si>
  <si>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</si>
  <si>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</si>
  <si>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</si>
  <si>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</si>
  <si>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</si>
  <si>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</si>
  <si>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</si>
  <si>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</si>
  <si>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</si>
  <si>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</si>
  <si>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</si>
  <si>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</si>
  <si>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</si>
  <si>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</si>
  <si>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</si>
  <si>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</si>
  <si>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</si>
  <si>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</si>
  <si>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</si>
  <si>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</si>
  <si>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</si>
  <si>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</si>
  <si>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</si>
  <si>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</si>
  <si>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</si>
  <si>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</si>
  <si>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</si>
  <si>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</si>
  <si>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</si>
  <si>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</si>
  <si>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</si>
  <si>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</si>
  <si>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</si>
  <si>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</si>
  <si>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</si>
  <si>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</si>
  <si>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</si>
  <si>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</si>
  <si>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</si>
  <si>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</si>
  <si>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</si>
  <si>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</si>
  <si>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</si>
  <si>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</si>
  <si>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</si>
  <si>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</si>
  <si>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</si>
  <si>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</si>
  <si>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</si>
  <si>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</si>
  <si>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</si>
  <si>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</si>
  <si>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</si>
  <si>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</si>
  <si>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</si>
  <si>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</si>
  <si>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</si>
  <si>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</si>
  <si>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</si>
  <si>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</si>
  <si>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</si>
  <si>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</si>
  <si>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</si>
  <si>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</si>
  <si>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</si>
  <si>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</si>
  <si>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</si>
  <si>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</si>
  <si>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</si>
  <si>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</si>
  <si>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</si>
  <si>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</si>
  <si>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</si>
  <si>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</si>
  <si>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</si>
  <si>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</si>
  <si>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</si>
  <si>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</si>
  <si>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</si>
  <si>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</si>
  <si>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</si>
  <si>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</si>
  <si>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</si>
  <si>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</si>
  <si>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</si>
  <si>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</si>
  <si>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</si>
  <si>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</si>
  <si>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</si>
  <si>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</si>
  <si>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</si>
  <si>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</si>
  <si>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</si>
  <si>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</si>
  <si>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</si>
  <si>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</si>
  <si>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</si>
  <si>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</si>
  <si>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</si>
  <si>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</si>
  <si>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</si>
  <si>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</si>
  <si>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</si>
  <si>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</si>
  <si>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</si>
  <si>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</si>
  <si>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</si>
  <si>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</si>
  <si>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</si>
  <si>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</si>
  <si>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</si>
  <si>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</si>
  <si>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</si>
  <si>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</si>
  <si>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</si>
  <si>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Abacavir Sulphate</t>
  </si>
  <si>
    <t>A12-5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</si>
</sst>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100.2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26.28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B20/25*10/50</f>
        <v>0.21024000000000001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233306648</v>
      </c>
      <c r="C24" s="18">
        <v>5801.2</v>
      </c>
      <c r="D24" s="19">
        <v>1.1000000000000001</v>
      </c>
      <c r="E24" s="20">
        <v>2.6</v>
      </c>
    </row>
    <row r="25" spans="1:6" ht="16.5" customHeight="1" x14ac:dyDescent="0.3">
      <c r="A25" s="17">
        <v>2</v>
      </c>
      <c r="B25" s="18">
        <v>233583406</v>
      </c>
      <c r="C25" s="18">
        <v>5812.3</v>
      </c>
      <c r="D25" s="19">
        <v>1.1000000000000001</v>
      </c>
      <c r="E25" s="19">
        <v>2.5</v>
      </c>
    </row>
    <row r="26" spans="1:6" ht="16.5" customHeight="1" x14ac:dyDescent="0.3">
      <c r="A26" s="17">
        <v>3</v>
      </c>
      <c r="B26" s="18">
        <v>233402589</v>
      </c>
      <c r="C26" s="18">
        <v>5835.7</v>
      </c>
      <c r="D26" s="19">
        <v>1</v>
      </c>
      <c r="E26" s="19">
        <v>2.6</v>
      </c>
    </row>
    <row r="27" spans="1:6" ht="16.5" customHeight="1" x14ac:dyDescent="0.3">
      <c r="A27" s="17">
        <v>4</v>
      </c>
      <c r="B27" s="18">
        <v>233161673</v>
      </c>
      <c r="C27" s="18">
        <v>5820.5</v>
      </c>
      <c r="D27" s="19">
        <v>1.1000000000000001</v>
      </c>
      <c r="E27" s="19">
        <v>2.5</v>
      </c>
    </row>
    <row r="28" spans="1:6" ht="16.5" customHeight="1" x14ac:dyDescent="0.3">
      <c r="A28" s="17">
        <v>5</v>
      </c>
      <c r="B28" s="18">
        <v>233089881</v>
      </c>
      <c r="C28" s="18">
        <v>5819.7</v>
      </c>
      <c r="D28" s="19">
        <v>1.1000000000000001</v>
      </c>
      <c r="E28" s="19">
        <v>2.6</v>
      </c>
    </row>
    <row r="29" spans="1:6" ht="16.5" customHeight="1" x14ac:dyDescent="0.3">
      <c r="A29" s="17">
        <v>6</v>
      </c>
      <c r="B29" s="21">
        <v>233267310</v>
      </c>
      <c r="C29" s="21">
        <v>5825.8</v>
      </c>
      <c r="D29" s="22">
        <v>1.1000000000000001</v>
      </c>
      <c r="E29" s="22">
        <v>2.6</v>
      </c>
    </row>
    <row r="30" spans="1:6" ht="16.5" customHeight="1" x14ac:dyDescent="0.3">
      <c r="A30" s="23" t="s">
        <v>18</v>
      </c>
      <c r="B30" s="24">
        <f>AVERAGE(B24:B29)</f>
        <v>233301917.83333334</v>
      </c>
      <c r="C30" s="25">
        <f>AVERAGE(C24:C29)</f>
        <v>5819.2000000000007</v>
      </c>
      <c r="D30" s="26">
        <f>AVERAGE(D24:D29)</f>
        <v>1.0833333333333333</v>
      </c>
      <c r="E30" s="26">
        <f>AVERAGE(E24:E29)</f>
        <v>2.5666666666666664</v>
      </c>
    </row>
    <row r="31" spans="1:6" ht="16.5" customHeight="1" x14ac:dyDescent="0.3">
      <c r="A31" s="27" t="s">
        <v>19</v>
      </c>
      <c r="B31" s="28">
        <f>(STDEV(B24:B29)/B30)</f>
        <v>7.5521140935689353E-4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C32" sqref="C3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813.21</v>
      </c>
      <c r="D24" s="87">
        <f t="shared" ref="D24:D43" si="0">(C24-$C$46)/$C$46</f>
        <v>-1.0759620706643611E-2</v>
      </c>
      <c r="E24" s="53"/>
    </row>
    <row r="25" spans="1:5" ht="15.75" customHeight="1" x14ac:dyDescent="0.3">
      <c r="C25" s="95">
        <v>817.03</v>
      </c>
      <c r="D25" s="88">
        <f t="shared" si="0"/>
        <v>-6.1127296835369622E-3</v>
      </c>
      <c r="E25" s="53"/>
    </row>
    <row r="26" spans="1:5" ht="15.75" customHeight="1" x14ac:dyDescent="0.3">
      <c r="C26" s="95">
        <v>828.24</v>
      </c>
      <c r="D26" s="88">
        <f t="shared" si="0"/>
        <v>7.5238274811296807E-3</v>
      </c>
      <c r="E26" s="53"/>
    </row>
    <row r="27" spans="1:5" ht="15.75" customHeight="1" x14ac:dyDescent="0.3">
      <c r="C27" s="95">
        <v>815.23</v>
      </c>
      <c r="D27" s="88">
        <f t="shared" si="0"/>
        <v>-8.3023641970426942E-3</v>
      </c>
      <c r="E27" s="53"/>
    </row>
    <row r="28" spans="1:5" ht="15.75" customHeight="1" x14ac:dyDescent="0.3">
      <c r="C28" s="95">
        <v>823.92</v>
      </c>
      <c r="D28" s="88">
        <f t="shared" si="0"/>
        <v>2.2687046487157299E-3</v>
      </c>
      <c r="E28" s="53"/>
    </row>
    <row r="29" spans="1:5" ht="15.75" customHeight="1" x14ac:dyDescent="0.3">
      <c r="C29" s="95">
        <v>850.77</v>
      </c>
      <c r="D29" s="88">
        <f t="shared" si="0"/>
        <v>3.4930752808510421E-2</v>
      </c>
      <c r="E29" s="53"/>
    </row>
    <row r="30" spans="1:5" ht="15.75" customHeight="1" x14ac:dyDescent="0.3">
      <c r="C30" s="95">
        <v>821.17</v>
      </c>
      <c r="D30" s="88">
        <f t="shared" si="0"/>
        <v>-1.0765703024736679E-3</v>
      </c>
      <c r="E30" s="53"/>
    </row>
    <row r="31" spans="1:5" ht="15.75" customHeight="1" x14ac:dyDescent="0.3">
      <c r="C31" s="95">
        <v>823.48</v>
      </c>
      <c r="D31" s="88">
        <f t="shared" si="0"/>
        <v>1.7334606565254981E-3</v>
      </c>
      <c r="E31" s="53"/>
    </row>
    <row r="32" spans="1:5" ht="15.75" customHeight="1" x14ac:dyDescent="0.3">
      <c r="C32" s="95">
        <v>813.54</v>
      </c>
      <c r="D32" s="88">
        <f t="shared" si="0"/>
        <v>-1.0358187712500973E-2</v>
      </c>
      <c r="E32" s="53"/>
    </row>
    <row r="33" spans="1:7" ht="15.75" customHeight="1" x14ac:dyDescent="0.3">
      <c r="C33" s="95">
        <v>815.81</v>
      </c>
      <c r="D33" s="88">
        <f t="shared" si="0"/>
        <v>-7.5968152982464733E-3</v>
      </c>
      <c r="E33" s="53"/>
    </row>
    <row r="34" spans="1:7" ht="15.75" customHeight="1" x14ac:dyDescent="0.3">
      <c r="C34" s="95">
        <v>820.93</v>
      </c>
      <c r="D34" s="88">
        <f t="shared" si="0"/>
        <v>-1.3685215709411172E-3</v>
      </c>
      <c r="E34" s="53"/>
    </row>
    <row r="35" spans="1:7" ht="15.75" customHeight="1" x14ac:dyDescent="0.3">
      <c r="C35" s="95">
        <v>820.61</v>
      </c>
      <c r="D35" s="88">
        <f t="shared" si="0"/>
        <v>-1.7577899288976242E-3</v>
      </c>
      <c r="E35" s="53"/>
    </row>
    <row r="36" spans="1:7" ht="15.75" customHeight="1" x14ac:dyDescent="0.3">
      <c r="C36" s="95">
        <v>821.37</v>
      </c>
      <c r="D36" s="88">
        <f t="shared" si="0"/>
        <v>-8.3327757875074719E-4</v>
      </c>
      <c r="E36" s="53"/>
    </row>
    <row r="37" spans="1:7" ht="15.75" customHeight="1" x14ac:dyDescent="0.3">
      <c r="C37" s="95">
        <v>828.47</v>
      </c>
      <c r="D37" s="88">
        <f t="shared" si="0"/>
        <v>7.803614113410998E-3</v>
      </c>
      <c r="E37" s="53"/>
    </row>
    <row r="38" spans="1:7" ht="15.75" customHeight="1" x14ac:dyDescent="0.3">
      <c r="C38" s="95">
        <v>818.9</v>
      </c>
      <c r="D38" s="88">
        <f t="shared" si="0"/>
        <v>-3.8379427167281664E-3</v>
      </c>
      <c r="E38" s="53"/>
    </row>
    <row r="39" spans="1:7" ht="15.75" customHeight="1" x14ac:dyDescent="0.3">
      <c r="C39" s="95">
        <v>810.78</v>
      </c>
      <c r="D39" s="88">
        <f t="shared" si="0"/>
        <v>-1.3715627299876501E-2</v>
      </c>
      <c r="E39" s="53"/>
    </row>
    <row r="40" spans="1:7" ht="15.75" customHeight="1" x14ac:dyDescent="0.3">
      <c r="C40" s="95">
        <v>821.43</v>
      </c>
      <c r="D40" s="88">
        <f t="shared" si="0"/>
        <v>-7.6028976163395397E-4</v>
      </c>
      <c r="E40" s="53"/>
    </row>
    <row r="41" spans="1:7" ht="15.75" customHeight="1" x14ac:dyDescent="0.3">
      <c r="C41" s="95">
        <v>826.05</v>
      </c>
      <c r="D41" s="88">
        <f t="shared" si="0"/>
        <v>4.8597721563642393E-3</v>
      </c>
      <c r="E41" s="53"/>
    </row>
    <row r="42" spans="1:7" ht="15.75" customHeight="1" x14ac:dyDescent="0.3">
      <c r="C42" s="95">
        <v>829.15</v>
      </c>
      <c r="D42" s="88">
        <f t="shared" si="0"/>
        <v>8.6308093740686785E-3</v>
      </c>
      <c r="E42" s="53"/>
    </row>
    <row r="43" spans="1:7" ht="16.5" customHeight="1" x14ac:dyDescent="0.3">
      <c r="C43" s="96">
        <v>821.01</v>
      </c>
      <c r="D43" s="89">
        <f t="shared" si="0"/>
        <v>-1.2712044814519213E-3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16441.099999999999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822.05499999999995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822.05499999999995</v>
      </c>
      <c r="C49" s="93">
        <f>-IF(C46&lt;=80,10%,IF(C46&lt;250,7.5%,5%))</f>
        <v>-0.05</v>
      </c>
      <c r="D49" s="81">
        <f>IF(C46&lt;=80,C46*0.9,IF(C46&lt;250,C46*0.925,C46*0.95))</f>
        <v>780.95224999999994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863.15774999999996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5" zoomScale="70" zoomScaleNormal="40" zoomScaleSheetLayoutView="70" zoomScalePageLayoutView="42" workbookViewId="0">
      <selection activeCell="E124" sqref="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131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132</v>
      </c>
      <c r="C26" s="298"/>
    </row>
    <row r="27" spans="1:14" ht="26.25" customHeight="1" x14ac:dyDescent="0.4">
      <c r="A27" s="109" t="s">
        <v>48</v>
      </c>
      <c r="B27" s="304" t="s">
        <v>133</v>
      </c>
      <c r="C27" s="304"/>
    </row>
    <row r="28" spans="1:14" ht="27" customHeight="1" x14ac:dyDescent="0.4">
      <c r="A28" s="109" t="s">
        <v>6</v>
      </c>
      <c r="B28" s="110">
        <v>100.2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572.66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670.74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0.8537734442555982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235118170</v>
      </c>
      <c r="E38" s="133">
        <f>IF(ISBLANK(D38),"-",$D$48/$D$45*D38)</f>
        <v>235305991.79413205</v>
      </c>
      <c r="F38" s="132">
        <v>221938734</v>
      </c>
      <c r="G38" s="134">
        <f>IF(ISBLANK(F38),"-",$D$48/$F$45*F38)</f>
        <v>231911370.82188532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234776378</v>
      </c>
      <c r="E39" s="138">
        <f>IF(ISBLANK(D39),"-",$D$48/$D$45*D39)</f>
        <v>234963926.75701776</v>
      </c>
      <c r="F39" s="137">
        <v>222181755</v>
      </c>
      <c r="G39" s="139">
        <f>IF(ISBLANK(F39),"-",$D$48/$F$45*F39)</f>
        <v>232165311.77321339</v>
      </c>
      <c r="I39" s="315">
        <f>ABS((F43/D43*D42)-F42)/D42</f>
        <v>1.2415514611002239E-2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234812292</v>
      </c>
      <c r="E40" s="138">
        <f>IF(ISBLANK(D40),"-",$D$48/$D$45*D40)</f>
        <v>234999869.44655678</v>
      </c>
      <c r="F40" s="137">
        <v>222072038</v>
      </c>
      <c r="G40" s="139">
        <f>IF(ISBLANK(F40),"-",$D$48/$F$45*F40)</f>
        <v>232050664.7288968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234902280</v>
      </c>
      <c r="E42" s="148">
        <f>AVERAGE(E38:E41)</f>
        <v>235089929.33256888</v>
      </c>
      <c r="F42" s="147">
        <f>AVERAGE(F38:F41)</f>
        <v>222064175.66666666</v>
      </c>
      <c r="G42" s="149">
        <f>AVERAGE(G38:G41)</f>
        <v>232042449.10799852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26.28</v>
      </c>
      <c r="E43" s="140"/>
      <c r="F43" s="152">
        <v>25.17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22.437166115037122</v>
      </c>
      <c r="E44" s="155"/>
      <c r="F44" s="154">
        <f>F43*$B$34</f>
        <v>21.48947759191341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22.482040447267195</v>
      </c>
      <c r="E45" s="158"/>
      <c r="F45" s="157">
        <f>F44*$B$30/100</f>
        <v>21.532456547097237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0.17985632357813755</v>
      </c>
      <c r="E46" s="160"/>
      <c r="F46" s="161">
        <f>F45/$B$45</f>
        <v>0.1722596523767779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0.18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26.353595501693853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233566189.22028372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7.1728442265444805E-3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Abacavir Sulfate 300mg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Abacavir</v>
      </c>
      <c r="H56" s="179"/>
    </row>
    <row r="57" spans="1:12" ht="18.75" x14ac:dyDescent="0.3">
      <c r="A57" s="176" t="s">
        <v>88</v>
      </c>
      <c r="B57" s="247">
        <f>Uniformity!C46</f>
        <v>822.05499999999995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0" t="s">
        <v>94</v>
      </c>
      <c r="D60" s="323">
        <v>823.31</v>
      </c>
      <c r="E60" s="182">
        <v>1</v>
      </c>
      <c r="F60" s="183">
        <v>297099926</v>
      </c>
      <c r="G60" s="248">
        <f>IF(ISBLANK(F60),"-",(F60/$D$50*$D$47*$B$68)*($B$57/$D$60))</f>
        <v>285.76732631760672</v>
      </c>
      <c r="H60" s="266">
        <f t="shared" ref="H60:H71" si="0">IF(ISBLANK(F60),"-",(G60/$B$56)*100)</f>
        <v>95.255775439202239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21"/>
      <c r="D61" s="324"/>
      <c r="E61" s="184">
        <v>2</v>
      </c>
      <c r="F61" s="137">
        <v>297449354</v>
      </c>
      <c r="G61" s="249">
        <f>IF(ISBLANK(F61),"-",(F61/$D$50*$D$47*$B$68)*($B$57/$D$60))</f>
        <v>286.1034257123286</v>
      </c>
      <c r="H61" s="267">
        <f t="shared" si="0"/>
        <v>95.367808570776205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297368520</v>
      </c>
      <c r="G62" s="249">
        <f>IF(ISBLANK(F62),"-",(F62/$D$50*$D$47*$B$68)*($B$57/$D$60))</f>
        <v>286.02567504989469</v>
      </c>
      <c r="H62" s="267">
        <f t="shared" si="0"/>
        <v>95.341891683298229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817.08</v>
      </c>
      <c r="E64" s="182">
        <v>1</v>
      </c>
      <c r="F64" s="183">
        <v>298982385</v>
      </c>
      <c r="G64" s="248">
        <f>IF(ISBLANK(F64),"-",(F64/$D$50*$D$47*$B$68)*($B$57/$D$64))</f>
        <v>289.77068006659329</v>
      </c>
      <c r="H64" s="266">
        <f t="shared" si="0"/>
        <v>96.590226688864433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298920951</v>
      </c>
      <c r="G65" s="249">
        <f>IF(ISBLANK(F65),"-",(F65/$D$50*$D$47*$B$68)*($B$57/$D$64))</f>
        <v>289.71113885997931</v>
      </c>
      <c r="H65" s="267">
        <f t="shared" si="0"/>
        <v>96.570379619993105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298778635</v>
      </c>
      <c r="G66" s="249">
        <f>IF(ISBLANK(F66),"-",(F66/$D$50*$D$47*$B$68)*($B$57/$D$64))</f>
        <v>289.57320764338158</v>
      </c>
      <c r="H66" s="267">
        <f t="shared" si="0"/>
        <v>96.524402547793869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1250</v>
      </c>
      <c r="C68" s="320" t="s">
        <v>104</v>
      </c>
      <c r="D68" s="323">
        <v>823.82</v>
      </c>
      <c r="E68" s="182">
        <v>1</v>
      </c>
      <c r="F68" s="183">
        <v>301493466</v>
      </c>
      <c r="G68" s="248">
        <f>IF(ISBLANK(F68),"-",(F68/$D$50*$D$47*$B$68)*($B$57/$D$68))</f>
        <v>289.81375348251413</v>
      </c>
      <c r="H68" s="267">
        <f t="shared" si="0"/>
        <v>96.604584494171377</v>
      </c>
    </row>
    <row r="69" spans="1:8" ht="27" customHeight="1" x14ac:dyDescent="0.4">
      <c r="A69" s="172" t="s">
        <v>105</v>
      </c>
      <c r="B69" s="189">
        <f>(D47*B68)/B56*B57</f>
        <v>616.54124999999999</v>
      </c>
      <c r="C69" s="321"/>
      <c r="D69" s="324"/>
      <c r="E69" s="184">
        <v>2</v>
      </c>
      <c r="F69" s="137">
        <v>302405383</v>
      </c>
      <c r="G69" s="249">
        <f>IF(ISBLANK(F69),"-",(F69/$D$50*$D$47*$B$68)*($B$57/$D$68))</f>
        <v>290.6903432545609</v>
      </c>
      <c r="H69" s="267">
        <f t="shared" si="0"/>
        <v>96.896781084853629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303093917</v>
      </c>
      <c r="G70" s="249">
        <f>IF(ISBLANK(F70),"-",(F70/$D$50*$D$47*$B$68)*($B$57/$D$68))</f>
        <v>291.35220377707162</v>
      </c>
      <c r="H70" s="267">
        <f t="shared" si="0"/>
        <v>97.117401259023879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288.75641712932565</v>
      </c>
      <c r="H72" s="269">
        <f>AVERAGE(H60:H71)</f>
        <v>96.252139043108556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7.5112220016204986E-3</v>
      </c>
      <c r="H73" s="253">
        <f>STDEV(H60:H71)/H72</f>
        <v>7.5112220016204986E-3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Abacavir Sulphate</v>
      </c>
      <c r="D76" s="328"/>
      <c r="E76" s="198" t="s">
        <v>108</v>
      </c>
      <c r="F76" s="198"/>
      <c r="G76" s="282">
        <f>H72</f>
        <v>96.252139043108556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Abacavir Sulphate</v>
      </c>
      <c r="C79" s="314"/>
    </row>
    <row r="80" spans="1:8" ht="26.25" customHeight="1" x14ac:dyDescent="0.4">
      <c r="A80" s="109" t="s">
        <v>48</v>
      </c>
      <c r="B80" s="314" t="str">
        <f>B27</f>
        <v>A12-5</v>
      </c>
      <c r="C80" s="314"/>
    </row>
    <row r="81" spans="1:12" ht="27" customHeight="1" x14ac:dyDescent="0.4">
      <c r="A81" s="109" t="s">
        <v>6</v>
      </c>
      <c r="B81" s="201">
        <f>B28</f>
        <v>100.2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572.66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670.74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0.8537734442555982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0.64900000000000002</v>
      </c>
      <c r="E91" s="133">
        <f>IF(ISBLANK(D91),"-",$D$101/$D$98*D91)</f>
        <v>0.48112477566427864</v>
      </c>
      <c r="F91" s="132">
        <v>0.61899999999999999</v>
      </c>
      <c r="G91" s="134">
        <f>IF(ISBLANK(F91),"-",$D$101/$F$98*F91)</f>
        <v>0.47912167588037902</v>
      </c>
      <c r="I91" s="135"/>
    </row>
    <row r="92" spans="1:12" ht="26.25" customHeight="1" x14ac:dyDescent="0.4">
      <c r="A92" s="124" t="s">
        <v>67</v>
      </c>
      <c r="B92" s="125">
        <v>5</v>
      </c>
      <c r="C92" s="191">
        <v>2</v>
      </c>
      <c r="D92" s="137">
        <v>0.65100000000000002</v>
      </c>
      <c r="E92" s="138">
        <f>IF(ISBLANK(D92),"-",$D$101/$D$98*D92)</f>
        <v>0.48260744061239663</v>
      </c>
      <c r="F92" s="137">
        <v>0.61899999999999999</v>
      </c>
      <c r="G92" s="139">
        <f>IF(ISBLANK(F92),"-",$D$101/$F$98*F92)</f>
        <v>0.47912167588037902</v>
      </c>
      <c r="I92" s="315">
        <f>ABS((F96/D96*D95)-F95)/D95</f>
        <v>5.9676852827540167E-3</v>
      </c>
    </row>
    <row r="93" spans="1:12" ht="26.25" customHeight="1" x14ac:dyDescent="0.4">
      <c r="A93" s="124" t="s">
        <v>68</v>
      </c>
      <c r="B93" s="125">
        <v>50</v>
      </c>
      <c r="C93" s="191">
        <v>3</v>
      </c>
      <c r="D93" s="137">
        <v>0.65</v>
      </c>
      <c r="E93" s="138">
        <f>IF(ISBLANK(D93),"-",$D$101/$D$98*D93)</f>
        <v>0.48186610813833763</v>
      </c>
      <c r="F93" s="137">
        <v>0.61799999999999999</v>
      </c>
      <c r="G93" s="139">
        <f>IF(ISBLANK(F93),"-",$D$101/$F$98*F93)</f>
        <v>0.47834765055585499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0.65</v>
      </c>
      <c r="E95" s="148">
        <f>AVERAGE(E91:E94)</f>
        <v>0.48186610813833769</v>
      </c>
      <c r="F95" s="211">
        <f>AVERAGE(F91:F94)</f>
        <v>0.61866666666666659</v>
      </c>
      <c r="G95" s="212">
        <f>AVERAGE(G91:G94)</f>
        <v>0.47886366743887104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26.28</v>
      </c>
      <c r="E96" s="140"/>
      <c r="F96" s="152">
        <v>25.17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22.437166115037122</v>
      </c>
      <c r="E97" s="155"/>
      <c r="F97" s="154">
        <f>F96*$B$87</f>
        <v>21.48947759191341</v>
      </c>
    </row>
    <row r="98" spans="1:10" ht="19.5" customHeight="1" x14ac:dyDescent="0.3">
      <c r="A98" s="124" t="s">
        <v>76</v>
      </c>
      <c r="B98" s="217">
        <f>(B97/B96)*(B95/B94)*(B93/B92)*(B91/B90)*B89</f>
        <v>1250</v>
      </c>
      <c r="C98" s="215" t="s">
        <v>115</v>
      </c>
      <c r="D98" s="218">
        <f>D97*$B$83/100</f>
        <v>22.482040447267195</v>
      </c>
      <c r="E98" s="158"/>
      <c r="F98" s="157">
        <f>F97*$B$83/100</f>
        <v>21.532456547097237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1.7985632357813756E-2</v>
      </c>
      <c r="E99" s="158"/>
      <c r="F99" s="161">
        <f>F98/$B$98</f>
        <v>1.722596523767779E-2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1.3333333333333334E-2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16.666666666666668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19.521181853106558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0.48036488778860426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3.6081652132535945E-3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0.51</v>
      </c>
      <c r="E108" s="250">
        <f t="shared" ref="E108:E113" si="1">IF(ISBLANK(D108),"-",D108/$D$103*$D$100*$B$116)</f>
        <v>318.50787576158399</v>
      </c>
      <c r="F108" s="274">
        <f t="shared" ref="F108:F113" si="2">IF(ISBLANK(D108), "-", (E108/$B$56)*100)</f>
        <v>106.169291920528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84">
        <v>0.50900000000000001</v>
      </c>
      <c r="E109" s="251">
        <f t="shared" si="1"/>
        <v>317.88335051499274</v>
      </c>
      <c r="F109" s="275">
        <f t="shared" si="2"/>
        <v>105.96111683833091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0.504</v>
      </c>
      <c r="E110" s="251">
        <f t="shared" si="1"/>
        <v>314.76072428203594</v>
      </c>
      <c r="F110" s="275">
        <f t="shared" si="2"/>
        <v>104.9202414273453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0.501</v>
      </c>
      <c r="E111" s="251">
        <f t="shared" si="1"/>
        <v>312.88714854226197</v>
      </c>
      <c r="F111" s="275">
        <f t="shared" si="2"/>
        <v>104.295716180754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0.496</v>
      </c>
      <c r="E112" s="251">
        <f t="shared" si="1"/>
        <v>309.76452230930528</v>
      </c>
      <c r="F112" s="275">
        <f t="shared" si="2"/>
        <v>103.25484076976844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0.49299999999999999</v>
      </c>
      <c r="E113" s="252">
        <f t="shared" si="1"/>
        <v>307.89094656953125</v>
      </c>
      <c r="F113" s="276">
        <f t="shared" si="2"/>
        <v>102.63031552317707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313.61576132995185</v>
      </c>
      <c r="F115" s="278">
        <f>AVERAGE(F108:F113)</f>
        <v>104.53858710998394</v>
      </c>
    </row>
    <row r="116" spans="1:10" ht="27" customHeight="1" x14ac:dyDescent="0.4">
      <c r="A116" s="124" t="s">
        <v>103</v>
      </c>
      <c r="B116" s="156">
        <f>(B115/B114)*(B113/B112)*(B111/B110)*(B109/B108)*B107</f>
        <v>22500</v>
      </c>
      <c r="C116" s="234"/>
      <c r="D116" s="258" t="s">
        <v>84</v>
      </c>
      <c r="E116" s="256">
        <f>STDEV(E108:E113)/E115</f>
        <v>1.3647307838061774E-2</v>
      </c>
      <c r="F116" s="235">
        <f>STDEV(F108:F113)/F115</f>
        <v>1.3647307838061768E-2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307.89094656953125</v>
      </c>
      <c r="F119" s="279">
        <f>MIN(F108:F113)</f>
        <v>102.63031552317707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318.50787576158399</v>
      </c>
      <c r="F120" s="280">
        <f>MAX(F108:F113)</f>
        <v>106.169291920528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Abacavir Sulphate</v>
      </c>
      <c r="D124" s="328"/>
      <c r="E124" s="198" t="s">
        <v>127</v>
      </c>
      <c r="F124" s="198"/>
      <c r="G124" s="281">
        <f>F115</f>
        <v>104.53858710998394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102.63031552317707</v>
      </c>
      <c r="E125" s="209" t="s">
        <v>130</v>
      </c>
      <c r="F125" s="281">
        <f>MAX(F108:F113)</f>
        <v>106.169291920528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ABACAVIR</vt:lpstr>
      <vt:lpstr>Sheet1</vt:lpstr>
      <vt:lpstr>ABACAVIR!Print_Area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2017-09-13T10:31:59Z</cp:lastPrinted>
  <dcterms:created xsi:type="dcterms:W3CDTF">2005-07-05T10:19:27Z</dcterms:created>
  <dcterms:modified xsi:type="dcterms:W3CDTF">2017-09-13T11:04:59Z</dcterms:modified>
</cp:coreProperties>
</file>