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16932" windowHeight="9408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2">ISONIAZID!$A$1:$I$250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79" i="3" l="1"/>
  <c r="B21" i="1"/>
  <c r="C124" i="3"/>
  <c r="B116" i="3"/>
  <c r="D100" i="3" s="1"/>
  <c r="B98" i="3"/>
  <c r="F97" i="3"/>
  <c r="F95" i="3"/>
  <c r="D95" i="3"/>
  <c r="B87" i="3"/>
  <c r="D97" i="3" s="1"/>
  <c r="B81" i="3"/>
  <c r="B83" i="3" s="1"/>
  <c r="B80" i="3"/>
  <c r="C76" i="3"/>
  <c r="B68" i="3"/>
  <c r="B57" i="3"/>
  <c r="B69" i="3" s="1"/>
  <c r="C56" i="3"/>
  <c r="B55" i="3"/>
  <c r="B45" i="3"/>
  <c r="D48" i="3" s="1"/>
  <c r="F42" i="3"/>
  <c r="D42" i="3"/>
  <c r="B34" i="3"/>
  <c r="B30" i="3"/>
  <c r="D50" i="2"/>
  <c r="C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8" i="3" l="1"/>
  <c r="D101" i="3"/>
  <c r="I92" i="3"/>
  <c r="E93" i="3"/>
  <c r="E91" i="3"/>
  <c r="F98" i="3"/>
  <c r="G91" i="3" s="1"/>
  <c r="D49" i="3"/>
  <c r="I39" i="3"/>
  <c r="F44" i="3"/>
  <c r="F45" i="3" s="1"/>
  <c r="D102" i="3"/>
  <c r="D44" i="3"/>
  <c r="D45" i="3" s="1"/>
  <c r="G94" i="3"/>
  <c r="E94" i="3"/>
  <c r="E92" i="3"/>
  <c r="D99" i="3"/>
  <c r="G93" i="3" l="1"/>
  <c r="F99" i="3"/>
  <c r="G92" i="3"/>
  <c r="D46" i="3"/>
  <c r="E40" i="3"/>
  <c r="E38" i="3"/>
  <c r="E41" i="3"/>
  <c r="E39" i="3"/>
  <c r="G41" i="3"/>
  <c r="G38" i="3"/>
  <c r="F46" i="3"/>
  <c r="G39" i="3"/>
  <c r="G40" i="3"/>
  <c r="E95" i="3"/>
  <c r="D103" i="3" l="1"/>
  <c r="D105" i="3"/>
  <c r="E112" i="3"/>
  <c r="F112" i="3" s="1"/>
  <c r="E111" i="3"/>
  <c r="F111" i="3" s="1"/>
  <c r="E108" i="3"/>
  <c r="E113" i="3"/>
  <c r="F113" i="3" s="1"/>
  <c r="E110" i="3"/>
  <c r="F110" i="3" s="1"/>
  <c r="E109" i="3"/>
  <c r="F109" i="3" s="1"/>
  <c r="G95" i="3"/>
  <c r="D104" i="3"/>
  <c r="E42" i="3"/>
  <c r="D50" i="3"/>
  <c r="G69" i="3" s="1"/>
  <c r="H69" i="3" s="1"/>
  <c r="D52" i="3"/>
  <c r="G42" i="3"/>
  <c r="E115" i="3" l="1"/>
  <c r="E116" i="3" s="1"/>
  <c r="E120" i="3"/>
  <c r="E117" i="3"/>
  <c r="F108" i="3"/>
  <c r="D125" i="3" s="1"/>
  <c r="E119" i="3"/>
  <c r="G63" i="3"/>
  <c r="H63" i="3" s="1"/>
  <c r="G68" i="3"/>
  <c r="H68" i="3" s="1"/>
  <c r="G61" i="3"/>
  <c r="H61" i="3" s="1"/>
  <c r="G66" i="3"/>
  <c r="H66" i="3" s="1"/>
  <c r="G71" i="3"/>
  <c r="H71" i="3" s="1"/>
  <c r="G70" i="3"/>
  <c r="H70" i="3" s="1"/>
  <c r="G64" i="3"/>
  <c r="H64" i="3" s="1"/>
  <c r="D51" i="3"/>
  <c r="G67" i="3"/>
  <c r="H67" i="3" s="1"/>
  <c r="G62" i="3"/>
  <c r="H62" i="3" s="1"/>
  <c r="G65" i="3"/>
  <c r="H65" i="3" s="1"/>
  <c r="G60" i="3"/>
  <c r="H60" i="3" s="1"/>
  <c r="F115" i="3" l="1"/>
  <c r="G124" i="3" s="1"/>
  <c r="F125" i="3"/>
  <c r="F120" i="3"/>
  <c r="F119" i="3"/>
  <c r="F117" i="3"/>
  <c r="G72" i="3"/>
  <c r="G73" i="3" s="1"/>
  <c r="G74" i="3"/>
  <c r="H74" i="3"/>
  <c r="H72" i="3"/>
  <c r="F116" i="3" l="1"/>
  <c r="G76" i="3"/>
  <c r="H73" i="3"/>
</calcChain>
</file>

<file path=xl/sharedStrings.xml><?xml version="1.0" encoding="utf-8"?>
<sst xmlns="http://schemas.openxmlformats.org/spreadsheetml/2006/main" count="239" uniqueCount="138">
  <si>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</si>
  <si>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</si>
  <si>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</si>
  <si>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</si>
  <si>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</si>
  <si>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</si>
  <si>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</si>
  <si>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NDQB201707046</t>
  </si>
  <si>
    <t>Weight (mg):</t>
  </si>
  <si>
    <t>Isoniazid BP</t>
  </si>
  <si>
    <t>Standard Conc (mg/mL):</t>
  </si>
  <si>
    <t>Each tablet contains: Isoniazid B.P. 300 mg.</t>
  </si>
  <si>
    <t>2017-07-19 14:48:54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</si>
  <si>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</si>
  <si>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</si>
  <si>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</si>
  <si>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</si>
  <si>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</si>
  <si>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</si>
  <si>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</si>
  <si>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</si>
  <si>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</si>
  <si>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</si>
  <si>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</si>
  <si>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</si>
  <si>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</si>
  <si>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</si>
  <si>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</si>
  <si>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</si>
  <si>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</si>
  <si>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</si>
  <si>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</si>
  <si>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</si>
  <si>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</si>
  <si>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</si>
  <si>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</si>
  <si>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</si>
  <si>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</si>
  <si>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</si>
  <si>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</si>
  <si>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</si>
  <si>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</si>
  <si>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</si>
  <si>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</si>
  <si>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</si>
  <si>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</si>
  <si>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</si>
  <si>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</si>
  <si>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</si>
  <si>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</si>
  <si>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</si>
  <si>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</si>
  <si>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</si>
  <si>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</si>
  <si>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</si>
  <si>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</si>
  <si>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</si>
  <si>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</si>
  <si>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</si>
  <si>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</si>
  <si>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</si>
  <si>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</si>
  <si>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</si>
  <si>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</si>
  <si>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</si>
  <si>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</si>
  <si>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</si>
  <si>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</si>
  <si>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</si>
  <si>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</si>
  <si>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</si>
  <si>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</si>
  <si>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</si>
  <si>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</si>
  <si>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</si>
  <si>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</si>
  <si>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</si>
  <si>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</si>
  <si>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</si>
  <si>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</si>
  <si>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</si>
  <si>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</si>
  <si>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</si>
  <si>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</si>
  <si>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</si>
  <si>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</si>
  <si>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</si>
  <si>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</si>
  <si>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</si>
  <si>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</si>
  <si>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</si>
  <si>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</si>
  <si>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</si>
  <si>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</si>
  <si>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</si>
  <si>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</si>
  <si>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</si>
  <si>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</si>
  <si>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</si>
  <si>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</si>
  <si>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</si>
  <si>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</si>
  <si>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</si>
  <si>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</si>
  <si>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</si>
  <si>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</si>
  <si>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</si>
  <si>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</si>
  <si>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</si>
  <si>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</si>
  <si>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</si>
  <si>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</si>
  <si>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</si>
  <si>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</si>
  <si>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</si>
  <si>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</si>
  <si>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</si>
  <si>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</si>
  <si>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</si>
  <si>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</si>
  <si>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</si>
  <si>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</si>
  <si>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</si>
  <si>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</si>
  <si>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</si>
  <si>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</si>
  <si>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</si>
  <si>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</si>
  <si>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</si>
  <si>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</si>
  <si>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</si>
  <si>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18/08/2017</t>
  </si>
  <si>
    <t>21/08/2017</t>
  </si>
  <si>
    <t>isoniazid</t>
  </si>
  <si>
    <t>NDQB201707046/NDQB201707047/NDQB201708113</t>
  </si>
  <si>
    <t>Isoniazid (WRS-I01/06)</t>
  </si>
  <si>
    <t>ISONIAZID TABLETS BP 300 mg</t>
  </si>
  <si>
    <t>WRS-I8-4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</si>
</sst>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3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3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4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5" xfId="0" applyFont="1" applyFill="1" applyBorder="1" applyAlignment="1">
      <alignment horizontal="center"/>
    </xf>
    <xf numFmtId="2" fontId="13" fillId="6" borderId="53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1" xfId="0" applyNumberFormat="1" applyFont="1" applyFill="1" applyBorder="1" applyAlignment="1">
      <alignment horizontal="center"/>
    </xf>
    <xf numFmtId="174" fontId="13" fillId="6" borderId="53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2" fillId="6" borderId="49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C36" sqref="C3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134</v>
      </c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0.29960000000000003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65666928</v>
      </c>
      <c r="C24" s="18">
        <v>4281.6000000000004</v>
      </c>
      <c r="D24" s="19">
        <v>1.4</v>
      </c>
      <c r="E24" s="20">
        <v>3.5</v>
      </c>
    </row>
    <row r="25" spans="1:6" ht="16.5" customHeight="1" x14ac:dyDescent="0.3">
      <c r="A25" s="17">
        <v>2</v>
      </c>
      <c r="B25" s="18">
        <v>65621083</v>
      </c>
      <c r="C25" s="18">
        <v>4314.5</v>
      </c>
      <c r="D25" s="19">
        <v>1.4</v>
      </c>
      <c r="E25" s="19">
        <v>3.5</v>
      </c>
    </row>
    <row r="26" spans="1:6" ht="16.5" customHeight="1" x14ac:dyDescent="0.3">
      <c r="A26" s="17">
        <v>3</v>
      </c>
      <c r="B26" s="18">
        <v>65862894</v>
      </c>
      <c r="C26" s="18">
        <v>4290.6000000000004</v>
      </c>
      <c r="D26" s="19">
        <v>1.4</v>
      </c>
      <c r="E26" s="19">
        <v>3.5</v>
      </c>
    </row>
    <row r="27" spans="1:6" ht="16.5" customHeight="1" x14ac:dyDescent="0.3">
      <c r="A27" s="17">
        <v>4</v>
      </c>
      <c r="B27" s="18">
        <v>65973745</v>
      </c>
      <c r="C27" s="18">
        <v>4300.8</v>
      </c>
      <c r="D27" s="19">
        <v>1.4</v>
      </c>
      <c r="E27" s="19">
        <v>3.5</v>
      </c>
    </row>
    <row r="28" spans="1:6" ht="16.5" customHeight="1" x14ac:dyDescent="0.3">
      <c r="A28" s="17">
        <v>5</v>
      </c>
      <c r="B28" s="18">
        <v>65967107</v>
      </c>
      <c r="C28" s="18">
        <v>4278</v>
      </c>
      <c r="D28" s="19">
        <v>1.4</v>
      </c>
      <c r="E28" s="19">
        <v>3.5</v>
      </c>
    </row>
    <row r="29" spans="1:6" ht="16.5" customHeight="1" x14ac:dyDescent="0.3">
      <c r="A29" s="17">
        <v>6</v>
      </c>
      <c r="B29" s="21">
        <v>66082011</v>
      </c>
      <c r="C29" s="21">
        <v>4306.7</v>
      </c>
      <c r="D29" s="22">
        <v>1.4</v>
      </c>
      <c r="E29" s="22">
        <v>3.5</v>
      </c>
    </row>
    <row r="30" spans="1:6" ht="16.5" customHeight="1" x14ac:dyDescent="0.3">
      <c r="A30" s="23" t="s">
        <v>18</v>
      </c>
      <c r="B30" s="24">
        <f>AVERAGE(B24:B29)</f>
        <v>65862294.666666664</v>
      </c>
      <c r="C30" s="25">
        <f>AVERAGE(C24:C29)</f>
        <v>4295.3666666666668</v>
      </c>
      <c r="D30" s="26">
        <f>AVERAGE(D24:D29)</f>
        <v>1.4000000000000001</v>
      </c>
      <c r="E30" s="26">
        <f>AVERAGE(E24:E29)</f>
        <v>3.5</v>
      </c>
    </row>
    <row r="31" spans="1:6" ht="16.5" customHeight="1" x14ac:dyDescent="0.3">
      <c r="A31" s="27" t="s">
        <v>19</v>
      </c>
      <c r="B31" s="28">
        <f>(STDEV(B24:B29)/B30)</f>
        <v>2.783403994443559E-3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5" workbookViewId="0">
      <selection activeCell="F29" sqref="F29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404.57</v>
      </c>
      <c r="D24" s="87">
        <f t="shared" ref="D24:D43" si="0">(C24-$C$46)/$C$46</f>
        <v>8.2967593042584144E-3</v>
      </c>
      <c r="E24" s="53"/>
    </row>
    <row r="25" spans="1:5" ht="15.75" customHeight="1" x14ac:dyDescent="0.3">
      <c r="C25" s="95">
        <v>404.06</v>
      </c>
      <c r="D25" s="88">
        <f t="shared" si="0"/>
        <v>7.0257027571956994E-3</v>
      </c>
      <c r="E25" s="53"/>
    </row>
    <row r="26" spans="1:5" ht="15.75" customHeight="1" x14ac:dyDescent="0.3">
      <c r="C26" s="95">
        <v>399.58</v>
      </c>
      <c r="D26" s="88">
        <f t="shared" si="0"/>
        <v>-4.1396567150417283E-3</v>
      </c>
      <c r="E26" s="53"/>
    </row>
    <row r="27" spans="1:5" ht="15.75" customHeight="1" x14ac:dyDescent="0.3">
      <c r="C27" s="95">
        <v>404.82</v>
      </c>
      <c r="D27" s="88">
        <f t="shared" si="0"/>
        <v>8.9198262390930896E-3</v>
      </c>
      <c r="E27" s="53"/>
    </row>
    <row r="28" spans="1:5" ht="15.75" customHeight="1" x14ac:dyDescent="0.3">
      <c r="C28" s="95">
        <v>398.75</v>
      </c>
      <c r="D28" s="88">
        <f t="shared" si="0"/>
        <v>-6.2082389386928106E-3</v>
      </c>
      <c r="E28" s="53"/>
    </row>
    <row r="29" spans="1:5" ht="15.75" customHeight="1" x14ac:dyDescent="0.3">
      <c r="C29" s="95">
        <v>403.71</v>
      </c>
      <c r="D29" s="88">
        <f t="shared" si="0"/>
        <v>6.1534090484270977E-3</v>
      </c>
      <c r="E29" s="53"/>
    </row>
    <row r="30" spans="1:5" ht="15.75" customHeight="1" x14ac:dyDescent="0.3">
      <c r="C30" s="95">
        <v>403.34</v>
      </c>
      <c r="D30" s="88">
        <f t="shared" si="0"/>
        <v>5.2312699848717668E-3</v>
      </c>
      <c r="E30" s="53"/>
    </row>
    <row r="31" spans="1:5" ht="15.75" customHeight="1" x14ac:dyDescent="0.3">
      <c r="C31" s="95">
        <v>398.75</v>
      </c>
      <c r="D31" s="88">
        <f t="shared" si="0"/>
        <v>-6.2082389386928106E-3</v>
      </c>
      <c r="E31" s="53"/>
    </row>
    <row r="32" spans="1:5" ht="15.75" customHeight="1" x14ac:dyDescent="0.3">
      <c r="C32" s="95">
        <v>404.44</v>
      </c>
      <c r="D32" s="88">
        <f t="shared" si="0"/>
        <v>7.972764498144394E-3</v>
      </c>
      <c r="E32" s="53"/>
    </row>
    <row r="33" spans="1:7" ht="15.75" customHeight="1" x14ac:dyDescent="0.3">
      <c r="C33" s="95">
        <v>401.58</v>
      </c>
      <c r="D33" s="88">
        <f t="shared" si="0"/>
        <v>8.4487876363567474E-4</v>
      </c>
      <c r="E33" s="53"/>
    </row>
    <row r="34" spans="1:7" ht="15.75" customHeight="1" x14ac:dyDescent="0.3">
      <c r="C34" s="95">
        <v>401.88</v>
      </c>
      <c r="D34" s="88">
        <f t="shared" si="0"/>
        <v>1.5925590854373134E-3</v>
      </c>
      <c r="E34" s="53"/>
    </row>
    <row r="35" spans="1:7" ht="15.75" customHeight="1" x14ac:dyDescent="0.3">
      <c r="C35" s="95">
        <v>398.29</v>
      </c>
      <c r="D35" s="88">
        <f t="shared" si="0"/>
        <v>-7.3546820987885619E-3</v>
      </c>
      <c r="E35" s="53"/>
    </row>
    <row r="36" spans="1:7" ht="15.75" customHeight="1" x14ac:dyDescent="0.3">
      <c r="C36" s="95">
        <v>400.16</v>
      </c>
      <c r="D36" s="88">
        <f t="shared" si="0"/>
        <v>-2.6941414262251794E-3</v>
      </c>
      <c r="E36" s="53"/>
    </row>
    <row r="37" spans="1:7" ht="15.75" customHeight="1" x14ac:dyDescent="0.3">
      <c r="C37" s="95">
        <v>401.71</v>
      </c>
      <c r="D37" s="88">
        <f t="shared" si="0"/>
        <v>1.1688735697496946E-3</v>
      </c>
      <c r="E37" s="53"/>
    </row>
    <row r="38" spans="1:7" ht="15.75" customHeight="1" x14ac:dyDescent="0.3">
      <c r="C38" s="95">
        <v>396.92</v>
      </c>
      <c r="D38" s="88">
        <f t="shared" si="0"/>
        <v>-1.0769088901682594E-2</v>
      </c>
      <c r="E38" s="53"/>
    </row>
    <row r="39" spans="1:7" ht="15.75" customHeight="1" x14ac:dyDescent="0.3">
      <c r="C39" s="95">
        <v>399.75</v>
      </c>
      <c r="D39" s="88">
        <f t="shared" si="0"/>
        <v>-3.7159711993541094E-3</v>
      </c>
      <c r="E39" s="53"/>
    </row>
    <row r="40" spans="1:7" ht="15.75" customHeight="1" x14ac:dyDescent="0.3">
      <c r="C40" s="95">
        <v>396.8</v>
      </c>
      <c r="D40" s="88">
        <f t="shared" si="0"/>
        <v>-1.1068161030403249E-2</v>
      </c>
      <c r="E40" s="53"/>
    </row>
    <row r="41" spans="1:7" ht="15.75" customHeight="1" x14ac:dyDescent="0.3">
      <c r="C41" s="95">
        <v>402.68</v>
      </c>
      <c r="D41" s="88">
        <f t="shared" si="0"/>
        <v>3.586373276908303E-3</v>
      </c>
      <c r="E41" s="53"/>
    </row>
    <row r="42" spans="1:7" ht="15.75" customHeight="1" x14ac:dyDescent="0.3">
      <c r="C42" s="95">
        <v>400.73</v>
      </c>
      <c r="D42" s="88">
        <f t="shared" si="0"/>
        <v>-1.2735488148021366E-3</v>
      </c>
      <c r="E42" s="53"/>
    </row>
    <row r="43" spans="1:7" ht="16.5" customHeight="1" x14ac:dyDescent="0.3">
      <c r="C43" s="96">
        <v>402.3</v>
      </c>
      <c r="D43" s="89">
        <f t="shared" si="0"/>
        <v>2.6393115359596079E-3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8024.8200000000006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401.24100000000004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401.24100000000004</v>
      </c>
      <c r="C49" s="93">
        <f>-IF(C46&lt;=80,10%,IF(C46&lt;250,7.5%,5%))</f>
        <v>-0.05</v>
      </c>
      <c r="D49" s="81">
        <f>IF(C46&lt;=80,C46*0.9,IF(C46&lt;250,C46*0.925,C46*0.95))</f>
        <v>381.17895000000004</v>
      </c>
    </row>
    <row r="50" spans="1:6" ht="17.25" customHeight="1" x14ac:dyDescent="0.3">
      <c r="B50" s="287"/>
      <c r="C50" s="94">
        <f>IF(C46&lt;=80, 10%, IF(C46&lt;250, 7.5%, 5%))</f>
        <v>0.05</v>
      </c>
      <c r="D50" s="81">
        <f>IF(C46&lt;=80, C46*1.1, IF(C46&lt;250, C46*1.075, C46*1.05))</f>
        <v>421.30305000000004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01" zoomScale="60" zoomScaleNormal="70" zoomScalePageLayoutView="44" workbookViewId="0">
      <selection activeCell="G115" sqref="G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24" t="s">
        <v>45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3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3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3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3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3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3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3">
      <c r="A8" s="325" t="s">
        <v>46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3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3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3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3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3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3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5">
      <c r="A15" s="98"/>
    </row>
    <row r="16" spans="1:9" ht="19.5" customHeight="1" x14ac:dyDescent="0.35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3">
      <c r="A17" s="300" t="s">
        <v>47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5">
      <c r="A18" s="100" t="s">
        <v>33</v>
      </c>
      <c r="B18" s="296" t="s">
        <v>136</v>
      </c>
      <c r="C18" s="296"/>
      <c r="D18" s="244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01" t="s">
        <v>9</v>
      </c>
      <c r="C20" s="301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104"/>
    </row>
    <row r="22" spans="1:14" ht="26.25" customHeight="1" x14ac:dyDescent="0.5">
      <c r="A22" s="100" t="s">
        <v>37</v>
      </c>
      <c r="B22" s="105" t="s">
        <v>131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 t="s">
        <v>132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296" t="s">
        <v>133</v>
      </c>
      <c r="C26" s="296"/>
    </row>
    <row r="27" spans="1:14" ht="26.25" customHeight="1" x14ac:dyDescent="0.5">
      <c r="A27" s="109" t="s">
        <v>48</v>
      </c>
      <c r="B27" s="302" t="s">
        <v>137</v>
      </c>
      <c r="C27" s="302"/>
    </row>
    <row r="28" spans="1:14" ht="27" customHeight="1" x14ac:dyDescent="0.45">
      <c r="A28" s="109" t="s">
        <v>6</v>
      </c>
      <c r="B28" s="110">
        <v>100.33</v>
      </c>
    </row>
    <row r="29" spans="1:14" s="14" customFormat="1" ht="27" customHeight="1" x14ac:dyDescent="0.5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100.33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309" t="s">
        <v>59</v>
      </c>
      <c r="E36" s="310"/>
      <c r="F36" s="309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65690775</v>
      </c>
      <c r="E38" s="133">
        <f>IF(ISBLANK(D38),"-",$D$48/$D$45*D38)</f>
        <v>69932932.93679589</v>
      </c>
      <c r="F38" s="132">
        <v>78580442</v>
      </c>
      <c r="G38" s="134">
        <f>IF(ISBLANK(F38),"-",$D$48/$F$45*F38)</f>
        <v>68590677.147460446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65725687</v>
      </c>
      <c r="E39" s="138">
        <f>IF(ISBLANK(D39),"-",$D$48/$D$45*D39)</f>
        <v>69970099.472807825</v>
      </c>
      <c r="F39" s="137">
        <v>79042950</v>
      </c>
      <c r="G39" s="139">
        <f>IF(ISBLANK(F39),"-",$D$48/$F$45*F39)</f>
        <v>68994387.486810774</v>
      </c>
      <c r="I39" s="313">
        <f>ABS((F43/D43*D42)-F42)/D42</f>
        <v>1.3353204167064175E-2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65517107</v>
      </c>
      <c r="E40" s="138">
        <f>IF(ISBLANK(D40),"-",$D$48/$D$45*D40)</f>
        <v>69748049.860027984</v>
      </c>
      <c r="F40" s="137">
        <v>79932248</v>
      </c>
      <c r="G40" s="139">
        <f>IF(ISBLANK(F40),"-",$D$48/$F$45*F40)</f>
        <v>69770630.919061795</v>
      </c>
      <c r="I40" s="313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65644523</v>
      </c>
      <c r="E42" s="148">
        <f>AVERAGE(E38:E41)</f>
        <v>69883694.089877233</v>
      </c>
      <c r="F42" s="147">
        <f>AVERAGE(F38:F41)</f>
        <v>79185213.333333328</v>
      </c>
      <c r="G42" s="149">
        <f>AVERAGE(G38:G41)</f>
        <v>69118565.184444323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14.98</v>
      </c>
      <c r="E43" s="140"/>
      <c r="F43" s="152">
        <v>18.27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14.98</v>
      </c>
      <c r="E44" s="155"/>
      <c r="F44" s="154">
        <f>F43*$B$34</f>
        <v>18.27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15.029434000000002</v>
      </c>
      <c r="E45" s="158"/>
      <c r="F45" s="157">
        <f>F44*$B$30/100</f>
        <v>18.330290999999999</v>
      </c>
      <c r="H45" s="150"/>
    </row>
    <row r="46" spans="1:14" ht="19.5" customHeight="1" x14ac:dyDescent="0.35">
      <c r="A46" s="314" t="s">
        <v>78</v>
      </c>
      <c r="B46" s="315"/>
      <c r="C46" s="153" t="s">
        <v>79</v>
      </c>
      <c r="D46" s="159">
        <f>D45/$B$45</f>
        <v>0.30058868000000005</v>
      </c>
      <c r="E46" s="160"/>
      <c r="F46" s="161">
        <f>F45/$B$45</f>
        <v>0.36660581999999997</v>
      </c>
      <c r="H46" s="150"/>
    </row>
    <row r="47" spans="1:14" ht="27" customHeight="1" x14ac:dyDescent="0.45">
      <c r="A47" s="316"/>
      <c r="B47" s="317"/>
      <c r="C47" s="162" t="s">
        <v>80</v>
      </c>
      <c r="D47" s="163">
        <v>0.32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16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69501129.637160778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8.2043307547888626E-3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Isoniazid B.P. 300 mg.</v>
      </c>
    </row>
    <row r="56" spans="1:12" ht="26.25" customHeight="1" x14ac:dyDescent="0.45">
      <c r="A56" s="177" t="s">
        <v>87</v>
      </c>
      <c r="B56" s="178">
        <v>300</v>
      </c>
      <c r="C56" s="99" t="str">
        <f>B20</f>
        <v>Isoniazid BP</v>
      </c>
      <c r="H56" s="179"/>
    </row>
    <row r="57" spans="1:12" ht="18" x14ac:dyDescent="0.35">
      <c r="A57" s="176" t="s">
        <v>88</v>
      </c>
      <c r="B57" s="245">
        <f>Uniformity!C46</f>
        <v>401.24100000000004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1</v>
      </c>
      <c r="C60" s="318" t="s">
        <v>94</v>
      </c>
      <c r="D60" s="321">
        <v>42.47</v>
      </c>
      <c r="E60" s="182">
        <v>1</v>
      </c>
      <c r="F60" s="183">
        <v>69839077</v>
      </c>
      <c r="G60" s="246">
        <f>IF(ISBLANK(F60),"-",(F60/$D$50*$D$47*$B$68)*($B$57/$D$60))</f>
        <v>303.79431957341308</v>
      </c>
      <c r="H60" s="264">
        <f t="shared" ref="H60:H71" si="0">IF(ISBLANK(F60),"-",(G60/$B$56)*100)</f>
        <v>101.26477319113769</v>
      </c>
      <c r="L60" s="112"/>
    </row>
    <row r="61" spans="1:12" s="14" customFormat="1" ht="26.25" customHeight="1" x14ac:dyDescent="0.45">
      <c r="A61" s="124" t="s">
        <v>95</v>
      </c>
      <c r="B61" s="125">
        <v>1</v>
      </c>
      <c r="C61" s="319"/>
      <c r="D61" s="322"/>
      <c r="E61" s="184">
        <v>2</v>
      </c>
      <c r="F61" s="137">
        <v>69500435</v>
      </c>
      <c r="G61" s="247">
        <f>IF(ISBLANK(F61),"-",(F61/$D$50*$D$47*$B$68)*($B$57/$D$60))</f>
        <v>302.32125434420078</v>
      </c>
      <c r="H61" s="265">
        <f t="shared" si="0"/>
        <v>100.77375144806693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9"/>
      <c r="D62" s="322"/>
      <c r="E62" s="184">
        <v>3</v>
      </c>
      <c r="F62" s="185">
        <v>69453474</v>
      </c>
      <c r="G62" s="247">
        <f>IF(ISBLANK(F62),"-",(F62/$D$50*$D$47*$B$68)*($B$57/$D$60))</f>
        <v>302.11697780369769</v>
      </c>
      <c r="H62" s="265">
        <f t="shared" si="0"/>
        <v>100.70565926789922</v>
      </c>
      <c r="L62" s="112"/>
    </row>
    <row r="63" spans="1:12" ht="27" customHeight="1" x14ac:dyDescent="0.45">
      <c r="A63" s="124" t="s">
        <v>97</v>
      </c>
      <c r="B63" s="125">
        <v>1</v>
      </c>
      <c r="C63" s="320"/>
      <c r="D63" s="323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18" t="s">
        <v>99</v>
      </c>
      <c r="D64" s="321">
        <v>39.14</v>
      </c>
      <c r="E64" s="182">
        <v>1</v>
      </c>
      <c r="F64" s="183">
        <v>64380869</v>
      </c>
      <c r="G64" s="246">
        <f>IF(ISBLANK(F64),"-",(F64/$D$50*$D$47*$B$68)*($B$57/$D$64))</f>
        <v>303.87812082175333</v>
      </c>
      <c r="H64" s="264">
        <f t="shared" si="0"/>
        <v>101.29270694058444</v>
      </c>
    </row>
    <row r="65" spans="1:8" ht="26.25" customHeight="1" x14ac:dyDescent="0.45">
      <c r="A65" s="124" t="s">
        <v>100</v>
      </c>
      <c r="B65" s="125">
        <v>1</v>
      </c>
      <c r="C65" s="319"/>
      <c r="D65" s="322"/>
      <c r="E65" s="184">
        <v>2</v>
      </c>
      <c r="F65" s="137">
        <v>64628158</v>
      </c>
      <c r="G65" s="247">
        <f>IF(ISBLANK(F65),"-",(F65/$D$50*$D$47*$B$68)*($B$57/$D$64))</f>
        <v>305.0453265116904</v>
      </c>
      <c r="H65" s="265">
        <f t="shared" si="0"/>
        <v>101.68177550389682</v>
      </c>
    </row>
    <row r="66" spans="1:8" ht="26.25" customHeight="1" x14ac:dyDescent="0.45">
      <c r="A66" s="124" t="s">
        <v>101</v>
      </c>
      <c r="B66" s="125">
        <v>1</v>
      </c>
      <c r="C66" s="319"/>
      <c r="D66" s="322"/>
      <c r="E66" s="184">
        <v>3</v>
      </c>
      <c r="F66" s="137">
        <v>64732278</v>
      </c>
      <c r="G66" s="247">
        <f>IF(ISBLANK(F66),"-",(F66/$D$50*$D$47*$B$68)*($B$57/$D$64))</f>
        <v>305.53677358954764</v>
      </c>
      <c r="H66" s="265">
        <f t="shared" si="0"/>
        <v>101.84559119651588</v>
      </c>
    </row>
    <row r="67" spans="1:8" ht="27" customHeight="1" x14ac:dyDescent="0.45">
      <c r="A67" s="124" t="s">
        <v>102</v>
      </c>
      <c r="B67" s="125">
        <v>1</v>
      </c>
      <c r="C67" s="320"/>
      <c r="D67" s="323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100</v>
      </c>
      <c r="C68" s="318" t="s">
        <v>104</v>
      </c>
      <c r="D68" s="321">
        <v>45.02</v>
      </c>
      <c r="E68" s="182">
        <v>1</v>
      </c>
      <c r="F68" s="183">
        <v>74291749</v>
      </c>
      <c r="G68" s="246">
        <f>IF(ISBLANK(F68),"-",(F68/$D$50*$D$47*$B$68)*($B$57/$D$68))</f>
        <v>304.85864225472824</v>
      </c>
      <c r="H68" s="265">
        <f t="shared" si="0"/>
        <v>101.61954741824275</v>
      </c>
    </row>
    <row r="69" spans="1:8" ht="27" customHeight="1" x14ac:dyDescent="0.5">
      <c r="A69" s="172" t="s">
        <v>105</v>
      </c>
      <c r="B69" s="189">
        <f>(D47*B68)/B56*B57</f>
        <v>42.799040000000005</v>
      </c>
      <c r="C69" s="319"/>
      <c r="D69" s="322"/>
      <c r="E69" s="184">
        <v>2</v>
      </c>
      <c r="F69" s="137">
        <v>74193085</v>
      </c>
      <c r="G69" s="247">
        <f>IF(ISBLANK(F69),"-",(F69/$D$50*$D$47*$B$68)*($B$57/$D$68))</f>
        <v>304.45377127666819</v>
      </c>
      <c r="H69" s="265">
        <f t="shared" si="0"/>
        <v>101.48459042555606</v>
      </c>
    </row>
    <row r="70" spans="1:8" ht="26.25" customHeight="1" x14ac:dyDescent="0.45">
      <c r="A70" s="331" t="s">
        <v>78</v>
      </c>
      <c r="B70" s="332"/>
      <c r="C70" s="319"/>
      <c r="D70" s="322"/>
      <c r="E70" s="184">
        <v>3</v>
      </c>
      <c r="F70" s="137">
        <v>74285093</v>
      </c>
      <c r="G70" s="247">
        <f>IF(ISBLANK(F70),"-",(F70/$D$50*$D$47*$B$68)*($B$57/$D$68))</f>
        <v>304.83132913920514</v>
      </c>
      <c r="H70" s="265">
        <f t="shared" si="0"/>
        <v>101.61044304640173</v>
      </c>
    </row>
    <row r="71" spans="1:8" ht="27" customHeight="1" x14ac:dyDescent="0.45">
      <c r="A71" s="333"/>
      <c r="B71" s="334"/>
      <c r="C71" s="330"/>
      <c r="D71" s="323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2">
        <f>AVERAGE(G60:G71)</f>
        <v>304.09294614610053</v>
      </c>
      <c r="H72" s="267">
        <f>AVERAGE(H60:H71)</f>
        <v>101.36431538203351</v>
      </c>
    </row>
    <row r="73" spans="1:8" ht="26.25" customHeight="1" x14ac:dyDescent="0.45">
      <c r="C73" s="190"/>
      <c r="D73" s="190"/>
      <c r="E73" s="190"/>
      <c r="F73" s="193" t="s">
        <v>84</v>
      </c>
      <c r="G73" s="251">
        <f>STDEV(G60:G71)/G72</f>
        <v>3.9310662436203786E-3</v>
      </c>
      <c r="H73" s="251">
        <f>STDEV(H60:H71)/H72</f>
        <v>3.931066243620422E-3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26" t="str">
        <f>B26</f>
        <v>isoniazid</v>
      </c>
      <c r="D76" s="326"/>
      <c r="E76" s="198" t="s">
        <v>108</v>
      </c>
      <c r="F76" s="198"/>
      <c r="G76" s="280">
        <f>H72</f>
        <v>101.36431538203351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12" t="str">
        <f>B26</f>
        <v>isoniazid</v>
      </c>
      <c r="C79" s="312"/>
    </row>
    <row r="80" spans="1:8" ht="26.25" customHeight="1" x14ac:dyDescent="0.45">
      <c r="A80" s="109" t="s">
        <v>48</v>
      </c>
      <c r="B80" s="312" t="str">
        <f>B27</f>
        <v>WRS-I8-4</v>
      </c>
      <c r="C80" s="312"/>
    </row>
    <row r="81" spans="1:12" ht="27" customHeight="1" x14ac:dyDescent="0.45">
      <c r="A81" s="109" t="s">
        <v>6</v>
      </c>
      <c r="B81" s="201">
        <f>B28</f>
        <v>100.33</v>
      </c>
    </row>
    <row r="82" spans="1:12" s="14" customFormat="1" ht="27" customHeight="1" x14ac:dyDescent="0.5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100.33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50</v>
      </c>
      <c r="D89" s="202" t="s">
        <v>59</v>
      </c>
      <c r="E89" s="203"/>
      <c r="F89" s="309" t="s">
        <v>60</v>
      </c>
      <c r="G89" s="311"/>
    </row>
    <row r="90" spans="1:12" ht="27" customHeight="1" x14ac:dyDescent="0.45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50</v>
      </c>
      <c r="C91" s="206">
        <v>1</v>
      </c>
      <c r="D91" s="132">
        <v>0.33900000000000002</v>
      </c>
      <c r="E91" s="133">
        <f>IF(ISBLANK(D91),"-",$D$101/$D$98*D91)</f>
        <v>0.46991124216653796</v>
      </c>
      <c r="F91" s="132">
        <v>0.435</v>
      </c>
      <c r="G91" s="134">
        <f>IF(ISBLANK(F91),"-",$D$101/$F$98*F91)</f>
        <v>0.49440022528829464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0.35099999999999998</v>
      </c>
      <c r="E92" s="138">
        <f>IF(ISBLANK(D92),"-",$D$101/$D$98*D92)</f>
        <v>0.48654526843791979</v>
      </c>
      <c r="F92" s="137">
        <v>0.434</v>
      </c>
      <c r="G92" s="139">
        <f>IF(ISBLANK(F92),"-",$D$101/$F$98*F92)</f>
        <v>0.49326367304625257</v>
      </c>
      <c r="I92" s="313">
        <f>ABS((F96/D96*D95)-F95)/D95</f>
        <v>3.2539375567808775E-2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0.34899999999999998</v>
      </c>
      <c r="E93" s="138">
        <f>IF(ISBLANK(D93),"-",$D$101/$D$98*D93)</f>
        <v>0.48377293072602279</v>
      </c>
      <c r="F93" s="137">
        <v>0.432</v>
      </c>
      <c r="G93" s="139">
        <f>IF(ISBLANK(F93),"-",$D$101/$F$98*F93)</f>
        <v>0.49099056856216844</v>
      </c>
      <c r="I93" s="313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335">
        <f>AVERAGE(D91:D94)</f>
        <v>0.34633333333333333</v>
      </c>
      <c r="E95" s="148">
        <f>AVERAGE(E91:E94)</f>
        <v>0.48007648044349355</v>
      </c>
      <c r="F95" s="335">
        <f>AVERAGE(F91:F94)</f>
        <v>0.43366666666666664</v>
      </c>
      <c r="G95" s="210">
        <f>AVERAGE(G91:G94)</f>
        <v>0.49288482229890523</v>
      </c>
    </row>
    <row r="96" spans="1:12" ht="26.25" customHeight="1" x14ac:dyDescent="0.45">
      <c r="A96" s="124" t="s">
        <v>72</v>
      </c>
      <c r="B96" s="110">
        <v>1</v>
      </c>
      <c r="C96" s="211" t="s">
        <v>113</v>
      </c>
      <c r="D96" s="212">
        <v>14.98</v>
      </c>
      <c r="E96" s="140"/>
      <c r="F96" s="152">
        <v>18.27</v>
      </c>
    </row>
    <row r="97" spans="1:10" ht="26.25" customHeight="1" x14ac:dyDescent="0.45">
      <c r="A97" s="124" t="s">
        <v>74</v>
      </c>
      <c r="B97" s="110">
        <v>1</v>
      </c>
      <c r="C97" s="213" t="s">
        <v>114</v>
      </c>
      <c r="D97" s="214">
        <f>D96*$B$87</f>
        <v>14.98</v>
      </c>
      <c r="E97" s="155"/>
      <c r="F97" s="154">
        <f>F96*$B$87</f>
        <v>18.27</v>
      </c>
    </row>
    <row r="98" spans="1:10" ht="19.5" customHeight="1" x14ac:dyDescent="0.35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15.029434000000002</v>
      </c>
      <c r="E98" s="158"/>
      <c r="F98" s="157">
        <f>F97*$B$83/100</f>
        <v>18.330290999999999</v>
      </c>
    </row>
    <row r="99" spans="1:10" ht="19.5" customHeight="1" x14ac:dyDescent="0.35">
      <c r="A99" s="314" t="s">
        <v>78</v>
      </c>
      <c r="B99" s="328"/>
      <c r="C99" s="213" t="s">
        <v>116</v>
      </c>
      <c r="D99" s="217">
        <f>D98/$B$98</f>
        <v>1.2023547200000002E-2</v>
      </c>
      <c r="E99" s="158"/>
      <c r="F99" s="161">
        <f>F98/$B$98</f>
        <v>1.46642328E-2</v>
      </c>
      <c r="G99" s="218"/>
      <c r="H99" s="150"/>
    </row>
    <row r="100" spans="1:10" ht="19.5" customHeight="1" x14ac:dyDescent="0.35">
      <c r="A100" s="316"/>
      <c r="B100" s="329"/>
      <c r="C100" s="213" t="s">
        <v>80</v>
      </c>
      <c r="D100" s="219">
        <f>$B$56/$B$116</f>
        <v>1.6666666666666666E-2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20.833333333333332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20.833333333333332</v>
      </c>
      <c r="F102" s="170"/>
      <c r="G102" s="218"/>
      <c r="H102" s="150"/>
      <c r="J102" s="223"/>
    </row>
    <row r="103" spans="1:10" ht="18" x14ac:dyDescent="0.35">
      <c r="C103" s="224" t="s">
        <v>117</v>
      </c>
      <c r="D103" s="225">
        <f>AVERAGE(E91:E94,G91:G94)</f>
        <v>0.48648065137119939</v>
      </c>
      <c r="F103" s="170"/>
      <c r="G103" s="226"/>
      <c r="H103" s="150"/>
      <c r="J103" s="227"/>
    </row>
    <row r="104" spans="1:10" ht="18" x14ac:dyDescent="0.35">
      <c r="C104" s="193" t="s">
        <v>84</v>
      </c>
      <c r="D104" s="228">
        <f>STDEV(E91:E94,G91:G94)/D103</f>
        <v>1.8635614821068701E-2</v>
      </c>
      <c r="F104" s="170"/>
      <c r="G104" s="218"/>
      <c r="H104" s="150"/>
      <c r="J104" s="227"/>
    </row>
    <row r="105" spans="1:10" ht="19.5" customHeight="1" x14ac:dyDescent="0.35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4" t="s">
        <v>122</v>
      </c>
      <c r="B108" s="125">
        <v>5</v>
      </c>
      <c r="C108" s="271">
        <v>1</v>
      </c>
      <c r="D108" s="281">
        <v>0.434</v>
      </c>
      <c r="E108" s="248">
        <f t="shared" ref="E108:E113" si="1">IF(ISBLANK(D108),"-",D108/$D$103*$D$100*$B$116)</f>
        <v>267.63654347406606</v>
      </c>
      <c r="F108" s="272">
        <f t="shared" ref="F108:F113" si="2">IF(ISBLANK(D108), "-", (E108/$B$56)*100)</f>
        <v>89.21218115802202</v>
      </c>
    </row>
    <row r="109" spans="1:10" ht="26.25" customHeight="1" x14ac:dyDescent="0.45">
      <c r="A109" s="124" t="s">
        <v>95</v>
      </c>
      <c r="B109" s="125">
        <v>100</v>
      </c>
      <c r="C109" s="269">
        <v>2</v>
      </c>
      <c r="D109" s="282">
        <v>0.41599999999999998</v>
      </c>
      <c r="E109" s="249">
        <f t="shared" si="1"/>
        <v>256.53641033458871</v>
      </c>
      <c r="F109" s="273">
        <f t="shared" si="2"/>
        <v>85.512136778196236</v>
      </c>
    </row>
    <row r="110" spans="1:10" ht="26.25" customHeight="1" x14ac:dyDescent="0.45">
      <c r="A110" s="124" t="s">
        <v>96</v>
      </c>
      <c r="B110" s="125">
        <v>1</v>
      </c>
      <c r="C110" s="269">
        <v>3</v>
      </c>
      <c r="D110" s="282">
        <v>0.43099999999999999</v>
      </c>
      <c r="E110" s="249">
        <f t="shared" si="1"/>
        <v>265.7865212841532</v>
      </c>
      <c r="F110" s="273">
        <f t="shared" si="2"/>
        <v>88.595507094717732</v>
      </c>
    </row>
    <row r="111" spans="1:10" ht="26.25" customHeight="1" x14ac:dyDescent="0.45">
      <c r="A111" s="124" t="s">
        <v>97</v>
      </c>
      <c r="B111" s="125">
        <v>1</v>
      </c>
      <c r="C111" s="269">
        <v>4</v>
      </c>
      <c r="D111" s="282">
        <v>0.41699999999999998</v>
      </c>
      <c r="E111" s="249">
        <f t="shared" si="1"/>
        <v>257.153084397893</v>
      </c>
      <c r="F111" s="273">
        <f t="shared" si="2"/>
        <v>85.717694799297661</v>
      </c>
    </row>
    <row r="112" spans="1:10" ht="26.25" customHeight="1" x14ac:dyDescent="0.45">
      <c r="A112" s="124" t="s">
        <v>98</v>
      </c>
      <c r="B112" s="125">
        <v>1</v>
      </c>
      <c r="C112" s="269">
        <v>5</v>
      </c>
      <c r="D112" s="282">
        <v>0.434</v>
      </c>
      <c r="E112" s="249">
        <f t="shared" si="1"/>
        <v>267.63654347406606</v>
      </c>
      <c r="F112" s="273">
        <f t="shared" si="2"/>
        <v>89.21218115802202</v>
      </c>
    </row>
    <row r="113" spans="1:10" ht="27" customHeight="1" x14ac:dyDescent="0.45">
      <c r="A113" s="124" t="s">
        <v>100</v>
      </c>
      <c r="B113" s="125">
        <v>1</v>
      </c>
      <c r="C113" s="270">
        <v>6</v>
      </c>
      <c r="D113" s="283">
        <v>0.42399999999999999</v>
      </c>
      <c r="E113" s="250">
        <f t="shared" si="1"/>
        <v>261.46980284102312</v>
      </c>
      <c r="F113" s="274">
        <f t="shared" si="2"/>
        <v>87.156600947007718</v>
      </c>
    </row>
    <row r="114" spans="1:10" ht="27" customHeight="1" x14ac:dyDescent="0.45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5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262.7031509676317</v>
      </c>
      <c r="F115" s="276">
        <f>AVERAGE(F108:F113)</f>
        <v>87.567716989210567</v>
      </c>
    </row>
    <row r="116" spans="1:10" ht="27" customHeight="1" x14ac:dyDescent="0.45">
      <c r="A116" s="124" t="s">
        <v>103</v>
      </c>
      <c r="B116" s="156">
        <f>(B115/B114)*(B113/B112)*(B111/B110)*(B109/B108)*B107</f>
        <v>18000</v>
      </c>
      <c r="C116" s="232"/>
      <c r="D116" s="256" t="s">
        <v>84</v>
      </c>
      <c r="E116" s="254">
        <f>STDEV(E108:E113)/E115</f>
        <v>1.9300286188821028E-2</v>
      </c>
      <c r="F116" s="233">
        <f>STDEV(F108:F113)/F115</f>
        <v>1.9300286188821035E-2</v>
      </c>
      <c r="I116" s="98"/>
    </row>
    <row r="117" spans="1:10" ht="27" customHeight="1" x14ac:dyDescent="0.45">
      <c r="A117" s="314" t="s">
        <v>78</v>
      </c>
      <c r="B117" s="315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5">
      <c r="A118" s="316"/>
      <c r="B118" s="317"/>
      <c r="C118" s="98"/>
      <c r="D118" s="258"/>
      <c r="E118" s="294" t="s">
        <v>123</v>
      </c>
      <c r="F118" s="295"/>
      <c r="G118" s="98"/>
      <c r="H118" s="98"/>
      <c r="I118" s="98"/>
    </row>
    <row r="119" spans="1:10" ht="25.5" customHeight="1" x14ac:dyDescent="0.45">
      <c r="A119" s="243"/>
      <c r="B119" s="120"/>
      <c r="C119" s="98"/>
      <c r="D119" s="256" t="s">
        <v>124</v>
      </c>
      <c r="E119" s="261">
        <f>MIN(E108:E113)</f>
        <v>256.53641033458871</v>
      </c>
      <c r="F119" s="277">
        <f>MIN(F108:F113)</f>
        <v>85.512136778196236</v>
      </c>
      <c r="G119" s="98"/>
      <c r="H119" s="98"/>
      <c r="I119" s="98"/>
    </row>
    <row r="120" spans="1:10" ht="24" customHeight="1" x14ac:dyDescent="0.45">
      <c r="A120" s="243"/>
      <c r="B120" s="120"/>
      <c r="C120" s="98"/>
      <c r="D120" s="167" t="s">
        <v>125</v>
      </c>
      <c r="E120" s="262">
        <f>MAX(E108:E113)</f>
        <v>267.63654347406606</v>
      </c>
      <c r="F120" s="278">
        <f>MAX(F108:F113)</f>
        <v>89.21218115802202</v>
      </c>
      <c r="G120" s="98"/>
      <c r="H120" s="98"/>
      <c r="I120" s="98"/>
    </row>
    <row r="121" spans="1:10" ht="27" customHeight="1" x14ac:dyDescent="0.35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26" t="str">
        <f>B26</f>
        <v>isoniazid</v>
      </c>
      <c r="D124" s="326"/>
      <c r="E124" s="198" t="s">
        <v>127</v>
      </c>
      <c r="F124" s="198"/>
      <c r="G124" s="279">
        <f>F115</f>
        <v>87.567716989210567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79">
        <f>MIN(F108:F113)</f>
        <v>85.512136778196236</v>
      </c>
      <c r="E125" s="209" t="s">
        <v>130</v>
      </c>
      <c r="F125" s="279">
        <f>MAX(F108:F113)</f>
        <v>89.21218115802202</v>
      </c>
      <c r="G125" s="199"/>
      <c r="H125" s="98"/>
      <c r="I125" s="98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327" t="s">
        <v>26</v>
      </c>
      <c r="C127" s="327"/>
      <c r="E127" s="204" t="s">
        <v>27</v>
      </c>
      <c r="F127" s="237"/>
      <c r="G127" s="327" t="s">
        <v>28</v>
      </c>
      <c r="H127" s="327"/>
    </row>
    <row r="128" spans="1:10" ht="69.900000000000006" customHeight="1" x14ac:dyDescent="0.35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8"/>
      <c r="G129" s="242"/>
      <c r="H129" s="242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2017-08-23T07:24:39Z</cp:lastPrinted>
  <dcterms:created xsi:type="dcterms:W3CDTF">2005-07-05T10:19:27Z</dcterms:created>
  <dcterms:modified xsi:type="dcterms:W3CDTF">2017-09-11T08:04:40Z</dcterms:modified>
</cp:coreProperties>
</file>