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/>
  </bookViews>
  <sheets>
    <sheet name="SST" sheetId="4" r:id="rId1"/>
    <sheet name="ISONIAZID" sheetId="5" r:id="rId2"/>
    <sheet name="Uniformity" sheetId="2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C124" i="5" l="1"/>
  <c r="B116" i="5"/>
  <c r="D100" i="5" s="1"/>
  <c r="B98" i="5"/>
  <c r="F95" i="5"/>
  <c r="D95" i="5"/>
  <c r="G94" i="5"/>
  <c r="E94" i="5"/>
  <c r="B87" i="5"/>
  <c r="D97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C56" i="5"/>
  <c r="B55" i="5"/>
  <c r="B45" i="5"/>
  <c r="D48" i="5" s="1"/>
  <c r="F44" i="5"/>
  <c r="F45" i="5" s="1"/>
  <c r="F46" i="5" s="1"/>
  <c r="F42" i="5"/>
  <c r="D42" i="5"/>
  <c r="G41" i="5"/>
  <c r="E41" i="5"/>
  <c r="I39" i="5"/>
  <c r="B34" i="5"/>
  <c r="D44" i="5" s="1"/>
  <c r="B30" i="5"/>
  <c r="B53" i="4"/>
  <c r="E51" i="4"/>
  <c r="D51" i="4"/>
  <c r="C51" i="4"/>
  <c r="B51" i="4"/>
  <c r="B52" i="4" s="1"/>
  <c r="B32" i="4"/>
  <c r="B31" i="4"/>
  <c r="E30" i="4"/>
  <c r="D30" i="4"/>
  <c r="C30" i="4"/>
  <c r="B30" i="4"/>
  <c r="B21" i="4"/>
  <c r="D50" i="2"/>
  <c r="C50" i="2"/>
  <c r="D49" i="2"/>
  <c r="C49" i="2"/>
  <c r="B49" i="2"/>
  <c r="C46" i="2"/>
  <c r="B57" i="5" s="1"/>
  <c r="C45" i="2"/>
  <c r="D42" i="2"/>
  <c r="D41" i="2"/>
  <c r="D40" i="2"/>
  <c r="D39" i="2"/>
  <c r="D38" i="2"/>
  <c r="D37" i="2"/>
  <c r="D34" i="2"/>
  <c r="D33" i="2"/>
  <c r="D32" i="2"/>
  <c r="D31" i="2"/>
  <c r="D30" i="2"/>
  <c r="D29" i="2"/>
  <c r="D27" i="2"/>
  <c r="D26" i="2"/>
  <c r="D25" i="2"/>
  <c r="D24" i="2"/>
  <c r="C19" i="2"/>
  <c r="D45" i="5" l="1"/>
  <c r="D46" i="5" s="1"/>
  <c r="D35" i="2"/>
  <c r="D43" i="2"/>
  <c r="D28" i="2"/>
  <c r="D36" i="2"/>
  <c r="B69" i="5"/>
  <c r="I92" i="5"/>
  <c r="D101" i="5"/>
  <c r="E38" i="5"/>
  <c r="G40" i="5"/>
  <c r="D49" i="5"/>
  <c r="E40" i="5"/>
  <c r="G38" i="5"/>
  <c r="G39" i="5"/>
  <c r="E39" i="5"/>
  <c r="D98" i="5"/>
  <c r="D99" i="5" s="1"/>
  <c r="F97" i="5"/>
  <c r="F98" i="5" s="1"/>
  <c r="F99" i="5" s="1"/>
  <c r="D102" i="5" l="1"/>
  <c r="G92" i="5"/>
  <c r="E91" i="5"/>
  <c r="G93" i="5"/>
  <c r="E92" i="5"/>
  <c r="E93" i="5"/>
  <c r="G91" i="5"/>
  <c r="D52" i="5"/>
  <c r="D50" i="5"/>
  <c r="E42" i="5"/>
  <c r="G42" i="5"/>
  <c r="D105" i="5" l="1"/>
  <c r="D103" i="5"/>
  <c r="E95" i="5"/>
  <c r="G95" i="5"/>
  <c r="G69" i="5"/>
  <c r="H69" i="5" s="1"/>
  <c r="G66" i="5"/>
  <c r="H66" i="5" s="1"/>
  <c r="G64" i="5"/>
  <c r="H64" i="5" s="1"/>
  <c r="G62" i="5"/>
  <c r="H62" i="5" s="1"/>
  <c r="G60" i="5"/>
  <c r="G68" i="5"/>
  <c r="H68" i="5" s="1"/>
  <c r="G70" i="5"/>
  <c r="H70" i="5" s="1"/>
  <c r="G65" i="5"/>
  <c r="H65" i="5" s="1"/>
  <c r="G61" i="5"/>
  <c r="H61" i="5" s="1"/>
  <c r="D51" i="5"/>
  <c r="D104" i="5" l="1"/>
  <c r="E113" i="5"/>
  <c r="F113" i="5" s="1"/>
  <c r="E110" i="5"/>
  <c r="F110" i="5" s="1"/>
  <c r="E108" i="5"/>
  <c r="E109" i="5"/>
  <c r="F109" i="5" s="1"/>
  <c r="E112" i="5"/>
  <c r="F112" i="5" s="1"/>
  <c r="E111" i="5"/>
  <c r="F111" i="5" s="1"/>
  <c r="G72" i="5"/>
  <c r="G73" i="5" s="1"/>
  <c r="H60" i="5"/>
  <c r="G74" i="5"/>
  <c r="F108" i="5" l="1"/>
  <c r="E119" i="5"/>
  <c r="E117" i="5"/>
  <c r="E120" i="5"/>
  <c r="E115" i="5"/>
  <c r="E116" i="5" s="1"/>
  <c r="H74" i="5"/>
  <c r="H72" i="5"/>
  <c r="G76" i="5" s="1"/>
  <c r="F120" i="5" l="1"/>
  <c r="F117" i="5"/>
  <c r="F119" i="5"/>
  <c r="F115" i="5"/>
  <c r="D125" i="5"/>
  <c r="F125" i="5"/>
  <c r="H73" i="5"/>
  <c r="G124" i="5" l="1"/>
  <c r="F116" i="5"/>
</calcChain>
</file>

<file path=xl/sharedStrings.xml><?xml version="1.0" encoding="utf-8"?>
<sst xmlns="http://schemas.openxmlformats.org/spreadsheetml/2006/main" count="239" uniqueCount="140">
  <si>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</si>
  <si>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</si>
  <si>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</si>
  <si>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</si>
  <si>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</si>
  <si>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</si>
  <si>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</si>
  <si>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NDQB201707047</t>
  </si>
  <si>
    <t>Weight (mg):</t>
  </si>
  <si>
    <t>Isoniazid BP</t>
  </si>
  <si>
    <t>Standard Conc (mg/mL):</t>
  </si>
  <si>
    <t>Each tablet contains: Isoniazid B.P. 300 mg.</t>
  </si>
  <si>
    <t>2017-07-19 14:52:04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</si>
  <si>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</si>
  <si>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</si>
  <si>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</si>
  <si>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</si>
  <si>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</si>
  <si>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</si>
  <si>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</si>
  <si>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</si>
  <si>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</si>
  <si>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</si>
  <si>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</si>
  <si>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</si>
  <si>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</si>
  <si>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</si>
  <si>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</si>
  <si>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</si>
  <si>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</si>
  <si>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</si>
  <si>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</si>
  <si>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</si>
  <si>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</si>
  <si>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</si>
  <si>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</si>
  <si>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</si>
  <si>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</si>
  <si>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</si>
  <si>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</si>
  <si>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</si>
  <si>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</si>
  <si>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</si>
  <si>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</si>
  <si>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</si>
  <si>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</si>
  <si>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</si>
  <si>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</si>
  <si>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</si>
  <si>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</si>
  <si>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</si>
  <si>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</si>
  <si>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</si>
  <si>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</si>
  <si>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</si>
  <si>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</si>
  <si>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</si>
  <si>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</si>
  <si>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</si>
  <si>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</si>
  <si>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</si>
  <si>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</si>
  <si>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</si>
  <si>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</si>
  <si>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</si>
  <si>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</si>
  <si>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</si>
  <si>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</si>
  <si>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</si>
  <si>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</si>
  <si>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</si>
  <si>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</si>
  <si>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</si>
  <si>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</si>
  <si>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</si>
  <si>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</si>
  <si>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</si>
  <si>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</si>
  <si>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</si>
  <si>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</si>
  <si>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</si>
  <si>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</si>
  <si>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</si>
  <si>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</si>
  <si>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</si>
  <si>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</si>
  <si>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</si>
  <si>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</si>
  <si>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</si>
  <si>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</si>
  <si>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</si>
  <si>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</si>
  <si>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</si>
  <si>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</si>
  <si>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</si>
  <si>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</si>
  <si>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</si>
  <si>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</si>
  <si>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</si>
  <si>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</si>
  <si>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</si>
  <si>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</si>
  <si>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</si>
  <si>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</si>
  <si>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</si>
  <si>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</si>
  <si>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</si>
  <si>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</si>
  <si>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</si>
  <si>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</si>
  <si>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</si>
  <si>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</si>
  <si>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</si>
  <si>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</si>
  <si>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</si>
  <si>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</si>
  <si>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</si>
  <si>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</si>
  <si>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</si>
  <si>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</si>
  <si>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</si>
  <si>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</si>
  <si>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</si>
  <si>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</si>
  <si>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</si>
  <si>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</si>
  <si>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</si>
  <si>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</si>
  <si>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</si>
  <si>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</si>
  <si>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</si>
  <si>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18/08/2017</t>
  </si>
  <si>
    <t>21/08/2017</t>
  </si>
  <si>
    <t>isoniazid</t>
  </si>
  <si>
    <t>i8-4</t>
  </si>
  <si>
    <t>NDQB201707046/NDQB201707047/NDQB201708113</t>
  </si>
  <si>
    <t>Isoniazid (WRS-I8-4)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</si>
  <si>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</si>
  <si>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1800</t>
    </r>
  </si>
  <si>
    <r>
      <t>The assymetry of all peaks is below</t>
    </r>
    <r>
      <rPr>
        <b/>
        <sz val="12"/>
        <color rgb="FF000000"/>
        <rFont val="Book Antiqua"/>
        <family val="1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</si>
</sst>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3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3" fillId="3" borderId="51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2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4" xfId="1" applyNumberFormat="1" applyFont="1" applyFill="1" applyBorder="1" applyAlignment="1">
      <alignment horizontal="center"/>
    </xf>
    <xf numFmtId="174" fontId="13" fillId="7" borderId="51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5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3" xfId="1" applyNumberFormat="1" applyFont="1" applyFill="1" applyBorder="1" applyAlignment="1">
      <alignment horizontal="center"/>
    </xf>
    <xf numFmtId="174" fontId="13" fillId="6" borderId="53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4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6" fontId="12" fillId="6" borderId="49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6" workbookViewId="0">
      <selection activeCell="C40" sqref="C40"/>
    </sheetView>
  </sheetViews>
  <sheetFormatPr defaultColWidth="9.109375" defaultRowHeight="13.8" x14ac:dyDescent="0.3"/>
  <cols>
    <col min="1" max="1" width="27.5546875" style="49" customWidth="1"/>
    <col min="2" max="2" width="20.44140625" style="49" customWidth="1"/>
    <col min="3" max="3" width="31.88671875" style="49" customWidth="1"/>
    <col min="4" max="4" width="25.88671875" style="49" customWidth="1"/>
    <col min="5" max="5" width="25.6640625" style="49" customWidth="1"/>
    <col min="6" max="6" width="23.109375" style="49" customWidth="1"/>
    <col min="7" max="7" width="28.44140625" style="49" customWidth="1"/>
    <col min="8" max="8" width="21.5546875" style="49" customWidth="1"/>
    <col min="9" max="9" width="9.109375" style="49" customWidth="1"/>
    <col min="10" max="16384" width="9.10937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5">
      <c r="A15" s="252" t="s">
        <v>0</v>
      </c>
      <c r="B15" s="252"/>
      <c r="C15" s="252"/>
      <c r="D15" s="252"/>
      <c r="E15" s="252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304" t="s">
        <v>135</v>
      </c>
      <c r="D17" s="54"/>
      <c r="E17" s="55"/>
    </row>
    <row r="18" spans="1:5" ht="16.5" customHeight="1" x14ac:dyDescent="0.3">
      <c r="A18" s="56" t="s">
        <v>4</v>
      </c>
      <c r="B18" s="304" t="s">
        <v>136</v>
      </c>
      <c r="C18" s="55"/>
      <c r="D18" s="55"/>
      <c r="E18" s="55"/>
    </row>
    <row r="19" spans="1:5" ht="16.5" customHeight="1" x14ac:dyDescent="0.3">
      <c r="A19" s="56" t="s">
        <v>6</v>
      </c>
      <c r="B19" s="57">
        <v>100.33</v>
      </c>
      <c r="C19" s="55"/>
      <c r="D19" s="55"/>
      <c r="E19" s="55"/>
    </row>
    <row r="20" spans="1:5" ht="16.5" customHeight="1" x14ac:dyDescent="0.3">
      <c r="A20" s="53" t="s">
        <v>8</v>
      </c>
      <c r="B20" s="57">
        <v>14.98</v>
      </c>
      <c r="C20" s="55"/>
      <c r="D20" s="55"/>
      <c r="E20" s="55"/>
    </row>
    <row r="21" spans="1:5" ht="16.5" customHeight="1" x14ac:dyDescent="0.3">
      <c r="A21" s="53" t="s">
        <v>10</v>
      </c>
      <c r="B21" s="58">
        <f>14.98/50</f>
        <v>0.29960000000000003</v>
      </c>
      <c r="C21" s="55"/>
      <c r="D21" s="55"/>
      <c r="E21" s="55"/>
    </row>
    <row r="22" spans="1:5" ht="15.75" customHeight="1" x14ac:dyDescent="0.3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65666928</v>
      </c>
      <c r="C24" s="62">
        <v>4281.6000000000004</v>
      </c>
      <c r="D24" s="63">
        <v>1.4</v>
      </c>
      <c r="E24" s="64">
        <v>3.5</v>
      </c>
    </row>
    <row r="25" spans="1:5" ht="16.5" customHeight="1" x14ac:dyDescent="0.3">
      <c r="A25" s="61">
        <v>2</v>
      </c>
      <c r="B25" s="62">
        <v>65621083</v>
      </c>
      <c r="C25" s="62">
        <v>4314.5</v>
      </c>
      <c r="D25" s="63">
        <v>1.4</v>
      </c>
      <c r="E25" s="63">
        <v>3.5</v>
      </c>
    </row>
    <row r="26" spans="1:5" ht="16.5" customHeight="1" x14ac:dyDescent="0.3">
      <c r="A26" s="61">
        <v>3</v>
      </c>
      <c r="B26" s="62">
        <v>65862894</v>
      </c>
      <c r="C26" s="62">
        <v>4290.6000000000004</v>
      </c>
      <c r="D26" s="63">
        <v>1.4</v>
      </c>
      <c r="E26" s="63">
        <v>3.5</v>
      </c>
    </row>
    <row r="27" spans="1:5" ht="16.5" customHeight="1" x14ac:dyDescent="0.3">
      <c r="A27" s="61">
        <v>4</v>
      </c>
      <c r="B27" s="62">
        <v>65973745</v>
      </c>
      <c r="C27" s="62">
        <v>4300.8</v>
      </c>
      <c r="D27" s="63">
        <v>1.4</v>
      </c>
      <c r="E27" s="63">
        <v>3.5</v>
      </c>
    </row>
    <row r="28" spans="1:5" ht="16.5" customHeight="1" x14ac:dyDescent="0.3">
      <c r="A28" s="61">
        <v>5</v>
      </c>
      <c r="B28" s="62">
        <v>65967107</v>
      </c>
      <c r="C28" s="62">
        <v>4278</v>
      </c>
      <c r="D28" s="63">
        <v>1.4</v>
      </c>
      <c r="E28" s="63">
        <v>3.5</v>
      </c>
    </row>
    <row r="29" spans="1:5" ht="16.5" customHeight="1" x14ac:dyDescent="0.3">
      <c r="A29" s="61">
        <v>6</v>
      </c>
      <c r="B29" s="65">
        <v>66082011</v>
      </c>
      <c r="C29" s="65">
        <v>4306.7</v>
      </c>
      <c r="D29" s="66">
        <v>1.4</v>
      </c>
      <c r="E29" s="66">
        <v>3.5</v>
      </c>
    </row>
    <row r="30" spans="1:5" ht="16.5" customHeight="1" x14ac:dyDescent="0.3">
      <c r="A30" s="67" t="s">
        <v>18</v>
      </c>
      <c r="B30" s="68">
        <f>AVERAGE(B24:B29)</f>
        <v>65862294.666666664</v>
      </c>
      <c r="C30" s="69">
        <f>AVERAGE(C24:C29)</f>
        <v>4295.3666666666668</v>
      </c>
      <c r="D30" s="70">
        <f>AVERAGE(D24:D29)</f>
        <v>1.4000000000000001</v>
      </c>
      <c r="E30" s="70">
        <f>AVERAGE(E24:E29)</f>
        <v>3.5</v>
      </c>
    </row>
    <row r="31" spans="1:5" ht="16.5" customHeight="1" x14ac:dyDescent="0.3">
      <c r="A31" s="71" t="s">
        <v>19</v>
      </c>
      <c r="B31" s="72">
        <f>(STDEV(B24:B29)/B30)</f>
        <v>2.783403994443559E-3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3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137</v>
      </c>
      <c r="C34" s="81"/>
      <c r="D34" s="81"/>
      <c r="E34" s="81"/>
    </row>
    <row r="35" spans="1:5" ht="16.5" customHeight="1" x14ac:dyDescent="0.3">
      <c r="A35" s="56"/>
      <c r="B35" s="80" t="s">
        <v>138</v>
      </c>
      <c r="C35" s="81"/>
      <c r="D35" s="81"/>
      <c r="E35" s="81"/>
    </row>
    <row r="36" spans="1:5" ht="16.5" customHeight="1" x14ac:dyDescent="0.3">
      <c r="A36" s="56"/>
      <c r="B36" s="80" t="s">
        <v>139</v>
      </c>
      <c r="C36" s="81"/>
      <c r="D36" s="81"/>
      <c r="E36" s="81"/>
    </row>
    <row r="37" spans="1:5" ht="15.75" customHeight="1" x14ac:dyDescent="0.3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3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3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5">
      <c r="A58" s="82"/>
      <c r="B58" s="83"/>
      <c r="D58" s="84"/>
      <c r="F58" s="85"/>
      <c r="G58" s="85"/>
    </row>
    <row r="59" spans="1:7" ht="15" customHeight="1" x14ac:dyDescent="0.3">
      <c r="B59" s="253" t="s">
        <v>26</v>
      </c>
      <c r="C59" s="253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97" zoomScale="80" zoomScaleNormal="80" zoomScalePageLayoutView="44" workbookViewId="0">
      <selection activeCell="D108" sqref="D108"/>
    </sheetView>
  </sheetViews>
  <sheetFormatPr defaultColWidth="9.109375" defaultRowHeight="13.8" x14ac:dyDescent="0.3"/>
  <cols>
    <col min="1" max="1" width="55.44140625" style="49" customWidth="1"/>
    <col min="2" max="2" width="33.6640625" style="49" customWidth="1"/>
    <col min="3" max="3" width="42.33203125" style="49" customWidth="1"/>
    <col min="4" max="4" width="30.5546875" style="49" customWidth="1"/>
    <col min="5" max="5" width="39.88671875" style="49" customWidth="1"/>
    <col min="6" max="6" width="30.6640625" style="49" customWidth="1"/>
    <col min="7" max="7" width="39.88671875" style="49" customWidth="1"/>
    <col min="8" max="8" width="30" style="49" customWidth="1"/>
    <col min="9" max="9" width="30.33203125" style="49" hidden="1" customWidth="1"/>
    <col min="10" max="10" width="30.44140625" style="49" customWidth="1"/>
    <col min="11" max="11" width="21.33203125" style="49" customWidth="1"/>
    <col min="12" max="12" width="9.109375" style="49"/>
    <col min="13" max="16384" width="9.109375" style="85"/>
  </cols>
  <sheetData>
    <row r="1" spans="1:9" ht="18.75" customHeight="1" x14ac:dyDescent="0.3">
      <c r="A1" s="286" t="s">
        <v>45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3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3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3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3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3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3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3">
      <c r="A8" s="287" t="s">
        <v>46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3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3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3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3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3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3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4">
      <c r="A15" s="92"/>
    </row>
    <row r="16" spans="1:9" ht="19.5" customHeight="1" thickBot="1" x14ac:dyDescent="0.4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3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5">
      <c r="A18" s="93" t="s">
        <v>33</v>
      </c>
      <c r="B18" s="292" t="s">
        <v>5</v>
      </c>
      <c r="C18" s="292"/>
      <c r="D18" s="94"/>
      <c r="E18" s="95"/>
      <c r="F18" s="96"/>
      <c r="G18" s="96"/>
      <c r="H18" s="96"/>
    </row>
    <row r="19" spans="1:14" ht="26.25" customHeight="1" x14ac:dyDescent="0.5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5">
      <c r="A20" s="93" t="s">
        <v>35</v>
      </c>
      <c r="B20" s="293" t="s">
        <v>9</v>
      </c>
      <c r="C20" s="293"/>
      <c r="D20" s="96"/>
      <c r="E20" s="96"/>
      <c r="F20" s="96"/>
      <c r="G20" s="96"/>
      <c r="H20" s="96"/>
    </row>
    <row r="21" spans="1:14" ht="26.25" customHeight="1" x14ac:dyDescent="0.5">
      <c r="A21" s="93" t="s">
        <v>36</v>
      </c>
      <c r="B21" s="293" t="s">
        <v>11</v>
      </c>
      <c r="C21" s="293"/>
      <c r="D21" s="293"/>
      <c r="E21" s="293"/>
      <c r="F21" s="293"/>
      <c r="G21" s="293"/>
      <c r="H21" s="293"/>
      <c r="I21" s="98"/>
    </row>
    <row r="22" spans="1:14" ht="26.25" customHeight="1" x14ac:dyDescent="0.5">
      <c r="A22" s="93" t="s">
        <v>37</v>
      </c>
      <c r="B22" s="99" t="s">
        <v>131</v>
      </c>
      <c r="C22" s="96"/>
      <c r="D22" s="96"/>
      <c r="E22" s="96"/>
      <c r="F22" s="96"/>
      <c r="G22" s="96"/>
      <c r="H22" s="96"/>
    </row>
    <row r="23" spans="1:14" ht="26.25" customHeight="1" x14ac:dyDescent="0.5">
      <c r="A23" s="93" t="s">
        <v>38</v>
      </c>
      <c r="B23" s="99" t="s">
        <v>132</v>
      </c>
      <c r="C23" s="96"/>
      <c r="D23" s="96"/>
      <c r="E23" s="96"/>
      <c r="F23" s="96"/>
      <c r="G23" s="96"/>
      <c r="H23" s="96"/>
    </row>
    <row r="24" spans="1:14" ht="18" x14ac:dyDescent="0.35">
      <c r="A24" s="93"/>
      <c r="B24" s="100"/>
    </row>
    <row r="25" spans="1:14" ht="18" x14ac:dyDescent="0.35">
      <c r="A25" s="101" t="s">
        <v>1</v>
      </c>
      <c r="B25" s="100"/>
    </row>
    <row r="26" spans="1:14" ht="26.25" customHeight="1" x14ac:dyDescent="0.45">
      <c r="A26" s="102" t="s">
        <v>4</v>
      </c>
      <c r="B26" s="292" t="s">
        <v>133</v>
      </c>
      <c r="C26" s="292"/>
    </row>
    <row r="27" spans="1:14" ht="26.25" customHeight="1" x14ac:dyDescent="0.5">
      <c r="A27" s="103" t="s">
        <v>48</v>
      </c>
      <c r="B27" s="294" t="s">
        <v>134</v>
      </c>
      <c r="C27" s="294"/>
    </row>
    <row r="28" spans="1:14" ht="27" customHeight="1" thickBot="1" x14ac:dyDescent="0.5">
      <c r="A28" s="103" t="s">
        <v>6</v>
      </c>
      <c r="B28" s="104">
        <v>100.33</v>
      </c>
    </row>
    <row r="29" spans="1:14" s="59" customFormat="1" ht="27" customHeight="1" thickBot="1" x14ac:dyDescent="0.55000000000000004">
      <c r="A29" s="103" t="s">
        <v>49</v>
      </c>
      <c r="B29" s="105">
        <v>0</v>
      </c>
      <c r="C29" s="266" t="s">
        <v>50</v>
      </c>
      <c r="D29" s="267"/>
      <c r="E29" s="267"/>
      <c r="F29" s="267"/>
      <c r="G29" s="268"/>
      <c r="I29" s="106"/>
      <c r="J29" s="106"/>
      <c r="K29" s="106"/>
      <c r="L29" s="106"/>
    </row>
    <row r="30" spans="1:14" s="59" customFormat="1" ht="19.5" customHeight="1" thickBot="1" x14ac:dyDescent="0.4">
      <c r="A30" s="103" t="s">
        <v>51</v>
      </c>
      <c r="B30" s="107">
        <f>B28-B29</f>
        <v>100.33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5">
      <c r="A31" s="103" t="s">
        <v>52</v>
      </c>
      <c r="B31" s="110">
        <v>1</v>
      </c>
      <c r="C31" s="269" t="s">
        <v>53</v>
      </c>
      <c r="D31" s="270"/>
      <c r="E31" s="270"/>
      <c r="F31" s="270"/>
      <c r="G31" s="270"/>
      <c r="H31" s="271"/>
      <c r="I31" s="106"/>
      <c r="J31" s="106"/>
      <c r="K31" s="106"/>
      <c r="L31" s="106"/>
    </row>
    <row r="32" spans="1:14" s="59" customFormat="1" ht="27" customHeight="1" thickBot="1" x14ac:dyDescent="0.5">
      <c r="A32" s="103" t="s">
        <v>54</v>
      </c>
      <c r="B32" s="110">
        <v>1</v>
      </c>
      <c r="C32" s="269" t="s">
        <v>55</v>
      </c>
      <c r="D32" s="270"/>
      <c r="E32" s="270"/>
      <c r="F32" s="270"/>
      <c r="G32" s="270"/>
      <c r="H32" s="271"/>
      <c r="I32" s="106"/>
      <c r="J32" s="106"/>
      <c r="K32" s="106"/>
      <c r="L32" s="111"/>
      <c r="M32" s="111"/>
      <c r="N32" s="112"/>
    </row>
    <row r="33" spans="1:14" s="59" customFormat="1" ht="17.25" customHeight="1" x14ac:dyDescent="0.35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" x14ac:dyDescent="0.35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4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5">
      <c r="A36" s="116" t="s">
        <v>58</v>
      </c>
      <c r="B36" s="117">
        <v>50</v>
      </c>
      <c r="C36" s="92"/>
      <c r="D36" s="272" t="s">
        <v>59</v>
      </c>
      <c r="E36" s="274"/>
      <c r="F36" s="272" t="s">
        <v>60</v>
      </c>
      <c r="G36" s="273"/>
      <c r="J36" s="106"/>
      <c r="K36" s="106"/>
      <c r="L36" s="111"/>
      <c r="M36" s="111"/>
      <c r="N36" s="112"/>
    </row>
    <row r="37" spans="1:14" s="59" customFormat="1" ht="27" customHeight="1" thickBot="1" x14ac:dyDescent="0.5">
      <c r="A37" s="118" t="s">
        <v>61</v>
      </c>
      <c r="B37" s="119">
        <v>1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5">
      <c r="A38" s="118" t="s">
        <v>66</v>
      </c>
      <c r="B38" s="119">
        <v>1</v>
      </c>
      <c r="C38" s="125">
        <v>1</v>
      </c>
      <c r="D38" s="126">
        <v>65690775</v>
      </c>
      <c r="E38" s="127">
        <f>IF(ISBLANK(D38),"-",$D$48/$D$45*D38)</f>
        <v>69932932.93679589</v>
      </c>
      <c r="F38" s="126">
        <v>78580442</v>
      </c>
      <c r="G38" s="128">
        <f>IF(ISBLANK(F38),"-",$D$48/$F$45*F38)</f>
        <v>68590677.147460446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5">
      <c r="A39" s="118" t="s">
        <v>67</v>
      </c>
      <c r="B39" s="119">
        <v>1</v>
      </c>
      <c r="C39" s="130">
        <v>2</v>
      </c>
      <c r="D39" s="131">
        <v>65725687</v>
      </c>
      <c r="E39" s="132">
        <f>IF(ISBLANK(D39),"-",$D$48/$D$45*D39)</f>
        <v>69970099.472807825</v>
      </c>
      <c r="F39" s="131">
        <v>79042950</v>
      </c>
      <c r="G39" s="133">
        <f>IF(ISBLANK(F39),"-",$D$48/$F$45*F39)</f>
        <v>68994387.486810774</v>
      </c>
      <c r="I39" s="254">
        <f>ABS((F43/D43*D42)-F42)/D42</f>
        <v>1.3353204167064175E-2</v>
      </c>
      <c r="J39" s="106"/>
      <c r="K39" s="106"/>
      <c r="L39" s="111"/>
      <c r="M39" s="111"/>
      <c r="N39" s="112"/>
    </row>
    <row r="40" spans="1:14" ht="26.25" customHeight="1" x14ac:dyDescent="0.45">
      <c r="A40" s="118" t="s">
        <v>68</v>
      </c>
      <c r="B40" s="119">
        <v>1</v>
      </c>
      <c r="C40" s="130">
        <v>3</v>
      </c>
      <c r="D40" s="131">
        <v>65517107</v>
      </c>
      <c r="E40" s="132">
        <f>IF(ISBLANK(D40),"-",$D$48/$D$45*D40)</f>
        <v>69748049.860027984</v>
      </c>
      <c r="F40" s="131">
        <v>79932248</v>
      </c>
      <c r="G40" s="133">
        <f>IF(ISBLANK(F40),"-",$D$48/$F$45*F40)</f>
        <v>69770630.919061795</v>
      </c>
      <c r="I40" s="254"/>
      <c r="L40" s="111"/>
      <c r="M40" s="111"/>
      <c r="N40" s="92"/>
    </row>
    <row r="41" spans="1:14" ht="27" customHeight="1" thickBot="1" x14ac:dyDescent="0.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5">
      <c r="A42" s="118" t="s">
        <v>70</v>
      </c>
      <c r="B42" s="119">
        <v>1</v>
      </c>
      <c r="C42" s="139" t="s">
        <v>71</v>
      </c>
      <c r="D42" s="140">
        <f>AVERAGE(D38:D41)</f>
        <v>65644523</v>
      </c>
      <c r="E42" s="141">
        <f>AVERAGE(E38:E41)</f>
        <v>69883694.089877233</v>
      </c>
      <c r="F42" s="140">
        <f>AVERAGE(F38:F41)</f>
        <v>79185213.333333328</v>
      </c>
      <c r="G42" s="142">
        <f>AVERAGE(G38:G41)</f>
        <v>69118565.184444323</v>
      </c>
      <c r="H42" s="83"/>
    </row>
    <row r="43" spans="1:14" ht="26.25" customHeight="1" x14ac:dyDescent="0.45">
      <c r="A43" s="118" t="s">
        <v>72</v>
      </c>
      <c r="B43" s="119">
        <v>1</v>
      </c>
      <c r="C43" s="143" t="s">
        <v>73</v>
      </c>
      <c r="D43" s="144">
        <v>14.98</v>
      </c>
      <c r="E43" s="92"/>
      <c r="F43" s="144">
        <v>18.27</v>
      </c>
      <c r="H43" s="83"/>
    </row>
    <row r="44" spans="1:14" ht="26.25" customHeight="1" x14ac:dyDescent="0.45">
      <c r="A44" s="118" t="s">
        <v>74</v>
      </c>
      <c r="B44" s="119">
        <v>1</v>
      </c>
      <c r="C44" s="145" t="s">
        <v>75</v>
      </c>
      <c r="D44" s="146">
        <f>D43*$B$34</f>
        <v>14.98</v>
      </c>
      <c r="E44" s="147"/>
      <c r="F44" s="146">
        <f>F43*$B$34</f>
        <v>18.27</v>
      </c>
      <c r="H44" s="83"/>
    </row>
    <row r="45" spans="1:14" ht="19.5" customHeight="1" thickBot="1" x14ac:dyDescent="0.4">
      <c r="A45" s="118" t="s">
        <v>76</v>
      </c>
      <c r="B45" s="130">
        <f>(B44/B43)*(B42/B41)*(B40/B39)*(B38/B37)*B36</f>
        <v>50</v>
      </c>
      <c r="C45" s="145" t="s">
        <v>77</v>
      </c>
      <c r="D45" s="148">
        <f>D44*$B$30/100</f>
        <v>15.029434000000002</v>
      </c>
      <c r="E45" s="149"/>
      <c r="F45" s="148">
        <f>F44*$B$30/100</f>
        <v>18.330290999999999</v>
      </c>
      <c r="H45" s="83"/>
    </row>
    <row r="46" spans="1:14" ht="19.5" customHeight="1" thickBot="1" x14ac:dyDescent="0.4">
      <c r="A46" s="255" t="s">
        <v>78</v>
      </c>
      <c r="B46" s="259"/>
      <c r="C46" s="145" t="s">
        <v>79</v>
      </c>
      <c r="D46" s="150">
        <f>D45/$B$45</f>
        <v>0.30058868000000005</v>
      </c>
      <c r="E46" s="151"/>
      <c r="F46" s="152">
        <f>F45/$B$45</f>
        <v>0.36660581999999997</v>
      </c>
      <c r="H46" s="83"/>
    </row>
    <row r="47" spans="1:14" ht="27" customHeight="1" thickBot="1" x14ac:dyDescent="0.5">
      <c r="A47" s="257"/>
      <c r="B47" s="260"/>
      <c r="C47" s="153" t="s">
        <v>80</v>
      </c>
      <c r="D47" s="154">
        <v>0.32</v>
      </c>
      <c r="E47" s="155"/>
      <c r="F47" s="151"/>
      <c r="H47" s="83"/>
    </row>
    <row r="48" spans="1:14" ht="18" x14ac:dyDescent="0.35">
      <c r="C48" s="156" t="s">
        <v>81</v>
      </c>
      <c r="D48" s="148">
        <f>D47*$B$45</f>
        <v>16</v>
      </c>
      <c r="F48" s="157"/>
      <c r="H48" s="83"/>
    </row>
    <row r="49" spans="1:12" ht="19.5" customHeight="1" thickBot="1" x14ac:dyDescent="0.4">
      <c r="C49" s="158" t="s">
        <v>82</v>
      </c>
      <c r="D49" s="159">
        <f>D48/B34</f>
        <v>16</v>
      </c>
      <c r="F49" s="157"/>
      <c r="H49" s="83"/>
    </row>
    <row r="50" spans="1:12" ht="18" x14ac:dyDescent="0.35">
      <c r="C50" s="116" t="s">
        <v>83</v>
      </c>
      <c r="D50" s="160">
        <f>AVERAGE(E38:E41,G38:G41)</f>
        <v>69501129.637160778</v>
      </c>
      <c r="F50" s="161"/>
      <c r="H50" s="83"/>
    </row>
    <row r="51" spans="1:12" ht="18" x14ac:dyDescent="0.35">
      <c r="C51" s="118" t="s">
        <v>84</v>
      </c>
      <c r="D51" s="162">
        <f>STDEV(E38:E41,G38:G41)/D50</f>
        <v>8.2043307547888626E-3</v>
      </c>
      <c r="F51" s="161"/>
      <c r="H51" s="83"/>
    </row>
    <row r="52" spans="1:12" ht="19.5" customHeight="1" thickBot="1" x14ac:dyDescent="0.4">
      <c r="C52" s="163" t="s">
        <v>20</v>
      </c>
      <c r="D52" s="164">
        <f>COUNT(E38:E41,G38:G41)</f>
        <v>6</v>
      </c>
      <c r="F52" s="161"/>
    </row>
    <row r="54" spans="1:12" ht="18" x14ac:dyDescent="0.35">
      <c r="A54" s="165" t="s">
        <v>1</v>
      </c>
      <c r="B54" s="166" t="s">
        <v>85</v>
      </c>
    </row>
    <row r="55" spans="1:12" ht="18" x14ac:dyDescent="0.35">
      <c r="A55" s="92" t="s">
        <v>86</v>
      </c>
      <c r="B55" s="167" t="str">
        <f>B21</f>
        <v>Each tablet contains: Isoniazid B.P. 300 mg.</v>
      </c>
    </row>
    <row r="56" spans="1:12" ht="26.25" customHeight="1" x14ac:dyDescent="0.45">
      <c r="A56" s="167" t="s">
        <v>87</v>
      </c>
      <c r="B56" s="168">
        <v>300</v>
      </c>
      <c r="C56" s="92" t="str">
        <f>B20</f>
        <v>Isoniazid BP</v>
      </c>
      <c r="H56" s="147"/>
    </row>
    <row r="57" spans="1:12" ht="18" x14ac:dyDescent="0.35">
      <c r="A57" s="167" t="s">
        <v>88</v>
      </c>
      <c r="B57" s="169">
        <f>Uniformity!C46</f>
        <v>399.947</v>
      </c>
      <c r="H57" s="147"/>
    </row>
    <row r="58" spans="1:12" ht="19.5" customHeight="1" thickBot="1" x14ac:dyDescent="0.4">
      <c r="H58" s="147"/>
    </row>
    <row r="59" spans="1:12" s="59" customFormat="1" ht="27" customHeight="1" thickBot="1" x14ac:dyDescent="0.5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5">
      <c r="A60" s="118" t="s">
        <v>93</v>
      </c>
      <c r="B60" s="119">
        <v>1</v>
      </c>
      <c r="C60" s="275" t="s">
        <v>94</v>
      </c>
      <c r="D60" s="278">
        <v>41.4</v>
      </c>
      <c r="E60" s="172">
        <v>1</v>
      </c>
      <c r="F60" s="173">
        <v>67099100</v>
      </c>
      <c r="G60" s="174">
        <f>IF(ISBLANK(F60),"-",(F60/$D$50*$D$47*$B$68)*($B$57/$D$60))</f>
        <v>298.45366216606243</v>
      </c>
      <c r="H60" s="175">
        <f t="shared" ref="H60:H71" si="0">IF(ISBLANK(F60),"-",(G60/$B$56)*100)</f>
        <v>99.484554055354153</v>
      </c>
      <c r="L60" s="106"/>
    </row>
    <row r="61" spans="1:12" s="59" customFormat="1" ht="26.25" customHeight="1" x14ac:dyDescent="0.45">
      <c r="A61" s="118" t="s">
        <v>95</v>
      </c>
      <c r="B61" s="119">
        <v>1</v>
      </c>
      <c r="C61" s="276"/>
      <c r="D61" s="279"/>
      <c r="E61" s="176">
        <v>2</v>
      </c>
      <c r="F61" s="131">
        <v>67134146</v>
      </c>
      <c r="G61" s="177">
        <f>IF(ISBLANK(F61),"-",(F61/$D$50*$D$47*$B$68)*($B$57/$D$60))</f>
        <v>298.60954513683652</v>
      </c>
      <c r="H61" s="178">
        <f t="shared" si="0"/>
        <v>99.536515045612177</v>
      </c>
      <c r="L61" s="106"/>
    </row>
    <row r="62" spans="1:12" s="59" customFormat="1" ht="26.25" customHeight="1" x14ac:dyDescent="0.45">
      <c r="A62" s="118" t="s">
        <v>96</v>
      </c>
      <c r="B62" s="119">
        <v>1</v>
      </c>
      <c r="C62" s="276"/>
      <c r="D62" s="279"/>
      <c r="E62" s="176">
        <v>3</v>
      </c>
      <c r="F62" s="179">
        <v>67367148</v>
      </c>
      <c r="G62" s="177">
        <f>IF(ISBLANK(F62),"-",(F62/$D$50*$D$47*$B$68)*($B$57/$D$60))</f>
        <v>299.64592714780269</v>
      </c>
      <c r="H62" s="178">
        <f t="shared" si="0"/>
        <v>99.881975715934232</v>
      </c>
      <c r="L62" s="106"/>
    </row>
    <row r="63" spans="1:12" ht="27" customHeight="1" thickBot="1" x14ac:dyDescent="0.5">
      <c r="A63" s="118" t="s">
        <v>97</v>
      </c>
      <c r="B63" s="119">
        <v>1</v>
      </c>
      <c r="C63" s="277"/>
      <c r="D63" s="280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5">
      <c r="A64" s="118" t="s">
        <v>98</v>
      </c>
      <c r="B64" s="119">
        <v>1</v>
      </c>
      <c r="C64" s="275" t="s">
        <v>99</v>
      </c>
      <c r="D64" s="278">
        <v>40.6</v>
      </c>
      <c r="E64" s="172">
        <v>1</v>
      </c>
      <c r="F64" s="173">
        <v>64935570</v>
      </c>
      <c r="G64" s="174">
        <f>IF(ISBLANK(F64),"-",(F64/$D$50*$D$47*$B$68)*($B$57/$D$64))</f>
        <v>294.52162084879217</v>
      </c>
      <c r="H64" s="175">
        <f t="shared" si="0"/>
        <v>98.173873616264046</v>
      </c>
    </row>
    <row r="65" spans="1:8" ht="26.25" customHeight="1" x14ac:dyDescent="0.45">
      <c r="A65" s="118" t="s">
        <v>100</v>
      </c>
      <c r="B65" s="119">
        <v>1</v>
      </c>
      <c r="C65" s="276"/>
      <c r="D65" s="279"/>
      <c r="E65" s="176">
        <v>2</v>
      </c>
      <c r="F65" s="131">
        <v>65190780</v>
      </c>
      <c r="G65" s="177">
        <f>IF(ISBLANK(F65),"-",(F65/$D$50*$D$47*$B$68)*($B$57/$D$64))</f>
        <v>295.6791507335198</v>
      </c>
      <c r="H65" s="178">
        <f t="shared" si="0"/>
        <v>98.559716911173268</v>
      </c>
    </row>
    <row r="66" spans="1:8" ht="26.25" customHeight="1" x14ac:dyDescent="0.45">
      <c r="A66" s="118" t="s">
        <v>101</v>
      </c>
      <c r="B66" s="119">
        <v>1</v>
      </c>
      <c r="C66" s="276"/>
      <c r="D66" s="279"/>
      <c r="E66" s="176">
        <v>3</v>
      </c>
      <c r="F66" s="131">
        <v>65796374</v>
      </c>
      <c r="G66" s="177">
        <f>IF(ISBLANK(F66),"-",(F66/$D$50*$D$47*$B$68)*($B$57/$D$64))</f>
        <v>298.42588147687513</v>
      </c>
      <c r="H66" s="178">
        <f t="shared" si="0"/>
        <v>99.475293825625045</v>
      </c>
    </row>
    <row r="67" spans="1:8" ht="27" customHeight="1" thickBot="1" x14ac:dyDescent="0.5">
      <c r="A67" s="118" t="s">
        <v>102</v>
      </c>
      <c r="B67" s="119">
        <v>1</v>
      </c>
      <c r="C67" s="277"/>
      <c r="D67" s="280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5">
      <c r="A68" s="118" t="s">
        <v>103</v>
      </c>
      <c r="B68" s="184">
        <f>(B67/B66)*(B65/B64)*(B63/B62)*(B61/B60)*B59</f>
        <v>100</v>
      </c>
      <c r="C68" s="275" t="s">
        <v>104</v>
      </c>
      <c r="D68" s="278">
        <v>44.66</v>
      </c>
      <c r="E68" s="172">
        <v>1</v>
      </c>
      <c r="F68" s="173">
        <v>73232712</v>
      </c>
      <c r="G68" s="174">
        <f>IF(ISBLANK(F68),"-",(F68/$D$50*$D$47*$B$68)*($B$57/$D$68))</f>
        <v>301.95828989192034</v>
      </c>
      <c r="H68" s="178">
        <f t="shared" si="0"/>
        <v>100.65276329730679</v>
      </c>
    </row>
    <row r="69" spans="1:8" ht="27" customHeight="1" thickBot="1" x14ac:dyDescent="0.55000000000000004">
      <c r="A69" s="163" t="s">
        <v>105</v>
      </c>
      <c r="B69" s="185">
        <f>(D47*B68)/B56*B57</f>
        <v>42.661013333333337</v>
      </c>
      <c r="C69" s="276"/>
      <c r="D69" s="279"/>
      <c r="E69" s="176">
        <v>2</v>
      </c>
      <c r="F69" s="131">
        <v>73126996</v>
      </c>
      <c r="G69" s="177">
        <f>IF(ISBLANK(F69),"-",(F69/$D$50*$D$47*$B$68)*($B$57/$D$68))</f>
        <v>301.52239421494176</v>
      </c>
      <c r="H69" s="178">
        <f t="shared" si="0"/>
        <v>100.50746473831391</v>
      </c>
    </row>
    <row r="70" spans="1:8" ht="26.25" customHeight="1" x14ac:dyDescent="0.45">
      <c r="A70" s="282" t="s">
        <v>78</v>
      </c>
      <c r="B70" s="283"/>
      <c r="C70" s="276"/>
      <c r="D70" s="279"/>
      <c r="E70" s="176">
        <v>3</v>
      </c>
      <c r="F70" s="131">
        <v>73425848</v>
      </c>
      <c r="G70" s="177">
        <f>IF(ISBLANK(F70),"-",(F70/$D$50*$D$47*$B$68)*($B$57/$D$68))</f>
        <v>302.75464188659407</v>
      </c>
      <c r="H70" s="178">
        <f t="shared" si="0"/>
        <v>100.91821396219802</v>
      </c>
    </row>
    <row r="71" spans="1:8" ht="27" customHeight="1" thickBot="1" x14ac:dyDescent="0.5">
      <c r="A71" s="284"/>
      <c r="B71" s="285"/>
      <c r="C71" s="281"/>
      <c r="D71" s="280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86" t="s">
        <v>71</v>
      </c>
      <c r="G72" s="187">
        <f>AVERAGE(G60:G71)</f>
        <v>299.06345705592719</v>
      </c>
      <c r="H72" s="188">
        <f>AVERAGE(H60:H71)</f>
        <v>99.687819018642415</v>
      </c>
    </row>
    <row r="73" spans="1:8" ht="26.25" customHeight="1" x14ac:dyDescent="0.45">
      <c r="C73" s="147"/>
      <c r="D73" s="147"/>
      <c r="E73" s="147"/>
      <c r="F73" s="189" t="s">
        <v>84</v>
      </c>
      <c r="G73" s="190">
        <f>STDEV(G60:G71)/G72</f>
        <v>9.26779494535474E-3</v>
      </c>
      <c r="H73" s="190">
        <f>STDEV(H60:H71)/H72</f>
        <v>9.2677949453547608E-3</v>
      </c>
    </row>
    <row r="74" spans="1:8" ht="27" customHeight="1" thickBot="1" x14ac:dyDescent="0.5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 x14ac:dyDescent="0.45">
      <c r="A76" s="102" t="s">
        <v>106</v>
      </c>
      <c r="B76" s="103" t="s">
        <v>107</v>
      </c>
      <c r="C76" s="263" t="str">
        <f>B26</f>
        <v>isoniazid</v>
      </c>
      <c r="D76" s="263"/>
      <c r="E76" s="92" t="s">
        <v>108</v>
      </c>
      <c r="F76" s="92"/>
      <c r="G76" s="193">
        <f>H72</f>
        <v>99.687819018642415</v>
      </c>
      <c r="H76" s="107"/>
    </row>
    <row r="77" spans="1:8" ht="18" x14ac:dyDescent="0.35">
      <c r="A77" s="101" t="s">
        <v>109</v>
      </c>
      <c r="B77" s="101" t="s">
        <v>110</v>
      </c>
    </row>
    <row r="78" spans="1:8" ht="18" x14ac:dyDescent="0.35">
      <c r="A78" s="101"/>
      <c r="B78" s="101"/>
    </row>
    <row r="79" spans="1:8" ht="26.25" customHeight="1" x14ac:dyDescent="0.45">
      <c r="A79" s="102" t="s">
        <v>4</v>
      </c>
      <c r="B79" s="265" t="str">
        <f>B26</f>
        <v>isoniazid</v>
      </c>
      <c r="C79" s="265"/>
    </row>
    <row r="80" spans="1:8" ht="26.25" customHeight="1" x14ac:dyDescent="0.45">
      <c r="A80" s="103" t="s">
        <v>48</v>
      </c>
      <c r="B80" s="265" t="str">
        <f>B27</f>
        <v>i8-4</v>
      </c>
      <c r="C80" s="265"/>
    </row>
    <row r="81" spans="1:12" ht="27" customHeight="1" thickBot="1" x14ac:dyDescent="0.5">
      <c r="A81" s="103" t="s">
        <v>6</v>
      </c>
      <c r="B81" s="104">
        <f>B28</f>
        <v>100.33</v>
      </c>
    </row>
    <row r="82" spans="1:12" s="59" customFormat="1" ht="27" customHeight="1" thickBot="1" x14ac:dyDescent="0.55000000000000004">
      <c r="A82" s="103" t="s">
        <v>49</v>
      </c>
      <c r="B82" s="105">
        <v>0</v>
      </c>
      <c r="C82" s="266" t="s">
        <v>50</v>
      </c>
      <c r="D82" s="267"/>
      <c r="E82" s="267"/>
      <c r="F82" s="267"/>
      <c r="G82" s="268"/>
      <c r="I82" s="106"/>
      <c r="J82" s="106"/>
      <c r="K82" s="106"/>
      <c r="L82" s="106"/>
    </row>
    <row r="83" spans="1:12" s="59" customFormat="1" ht="19.5" customHeight="1" thickBot="1" x14ac:dyDescent="0.4">
      <c r="A83" s="103" t="s">
        <v>51</v>
      </c>
      <c r="B83" s="107">
        <f>B81-B82</f>
        <v>100.33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5">
      <c r="A84" s="103" t="s">
        <v>52</v>
      </c>
      <c r="B84" s="110">
        <v>1</v>
      </c>
      <c r="C84" s="269" t="s">
        <v>111</v>
      </c>
      <c r="D84" s="270"/>
      <c r="E84" s="270"/>
      <c r="F84" s="270"/>
      <c r="G84" s="270"/>
      <c r="H84" s="271"/>
      <c r="I84" s="106"/>
      <c r="J84" s="106"/>
      <c r="K84" s="106"/>
      <c r="L84" s="106"/>
    </row>
    <row r="85" spans="1:12" s="59" customFormat="1" ht="27" customHeight="1" thickBot="1" x14ac:dyDescent="0.5">
      <c r="A85" s="103" t="s">
        <v>54</v>
      </c>
      <c r="B85" s="110">
        <v>1</v>
      </c>
      <c r="C85" s="269" t="s">
        <v>112</v>
      </c>
      <c r="D85" s="270"/>
      <c r="E85" s="270"/>
      <c r="F85" s="270"/>
      <c r="G85" s="270"/>
      <c r="H85" s="271"/>
      <c r="I85" s="106"/>
      <c r="J85" s="106"/>
      <c r="K85" s="106"/>
      <c r="L85" s="106"/>
    </row>
    <row r="86" spans="1:12" s="59" customFormat="1" ht="18" x14ac:dyDescent="0.3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" x14ac:dyDescent="0.35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4">
      <c r="A88" s="101"/>
      <c r="B88" s="101"/>
    </row>
    <row r="89" spans="1:12" ht="27" customHeight="1" thickBot="1" x14ac:dyDescent="0.5">
      <c r="A89" s="116" t="s">
        <v>58</v>
      </c>
      <c r="B89" s="117">
        <v>50</v>
      </c>
      <c r="D89" s="194" t="s">
        <v>59</v>
      </c>
      <c r="E89" s="195"/>
      <c r="F89" s="272" t="s">
        <v>60</v>
      </c>
      <c r="G89" s="273"/>
    </row>
    <row r="90" spans="1:12" ht="27" customHeight="1" thickBot="1" x14ac:dyDescent="0.5">
      <c r="A90" s="118" t="s">
        <v>61</v>
      </c>
      <c r="B90" s="119">
        <v>2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5">
      <c r="A91" s="118" t="s">
        <v>66</v>
      </c>
      <c r="B91" s="119">
        <v>50</v>
      </c>
      <c r="C91" s="198">
        <v>1</v>
      </c>
      <c r="D91" s="126">
        <v>0.33900000000000002</v>
      </c>
      <c r="E91" s="127">
        <f>IF(ISBLANK(D91),"-",$D$101/$D$98*D91)</f>
        <v>0.46991124216653796</v>
      </c>
      <c r="F91" s="126">
        <v>0.435</v>
      </c>
      <c r="G91" s="128">
        <f>IF(ISBLANK(F91),"-",$D$101/$F$98*F91)</f>
        <v>0.49440022528829464</v>
      </c>
      <c r="I91" s="129"/>
    </row>
    <row r="92" spans="1:12" ht="26.25" customHeight="1" x14ac:dyDescent="0.45">
      <c r="A92" s="118" t="s">
        <v>67</v>
      </c>
      <c r="B92" s="119">
        <v>1</v>
      </c>
      <c r="C92" s="147">
        <v>2</v>
      </c>
      <c r="D92" s="131">
        <v>0.35099999999999998</v>
      </c>
      <c r="E92" s="132">
        <f>IF(ISBLANK(D92),"-",$D$101/$D$98*D92)</f>
        <v>0.48654526843791979</v>
      </c>
      <c r="F92" s="131">
        <v>0.434</v>
      </c>
      <c r="G92" s="133">
        <f>IF(ISBLANK(F92),"-",$D$101/$F$98*F92)</f>
        <v>0.49326367304625257</v>
      </c>
      <c r="I92" s="254">
        <f>ABS((F96/D96*D95)-F95)/D95</f>
        <v>3.2539375567808775E-2</v>
      </c>
    </row>
    <row r="93" spans="1:12" ht="26.25" customHeight="1" x14ac:dyDescent="0.45">
      <c r="A93" s="118" t="s">
        <v>68</v>
      </c>
      <c r="B93" s="119">
        <v>1</v>
      </c>
      <c r="C93" s="147">
        <v>3</v>
      </c>
      <c r="D93" s="131">
        <v>0.34899999999999998</v>
      </c>
      <c r="E93" s="132">
        <f>IF(ISBLANK(D93),"-",$D$101/$D$98*D93)</f>
        <v>0.48377293072602279</v>
      </c>
      <c r="F93" s="131">
        <v>0.432</v>
      </c>
      <c r="G93" s="133">
        <f>IF(ISBLANK(F93),"-",$D$101/$F$98*F93)</f>
        <v>0.49099056856216844</v>
      </c>
      <c r="I93" s="254"/>
    </row>
    <row r="94" spans="1:12" ht="27" customHeight="1" thickBot="1" x14ac:dyDescent="0.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5">
      <c r="A95" s="118" t="s">
        <v>70</v>
      </c>
      <c r="B95" s="119">
        <v>1</v>
      </c>
      <c r="C95" s="103" t="s">
        <v>71</v>
      </c>
      <c r="D95" s="303">
        <f>AVERAGE(D91:D94)</f>
        <v>0.34633333333333333</v>
      </c>
      <c r="E95" s="141">
        <f>AVERAGE(E91:E94)</f>
        <v>0.48007648044349355</v>
      </c>
      <c r="F95" s="303">
        <f>AVERAGE(F91:F94)</f>
        <v>0.43366666666666664</v>
      </c>
      <c r="G95" s="201">
        <f>AVERAGE(G91:G94)</f>
        <v>0.49288482229890523</v>
      </c>
    </row>
    <row r="96" spans="1:12" ht="26.25" customHeight="1" x14ac:dyDescent="0.45">
      <c r="A96" s="118" t="s">
        <v>72</v>
      </c>
      <c r="B96" s="104">
        <v>1</v>
      </c>
      <c r="C96" s="202" t="s">
        <v>113</v>
      </c>
      <c r="D96" s="203">
        <v>14.98</v>
      </c>
      <c r="E96" s="92"/>
      <c r="F96" s="144">
        <v>18.27</v>
      </c>
    </row>
    <row r="97" spans="1:10" ht="26.25" customHeight="1" x14ac:dyDescent="0.45">
      <c r="A97" s="118" t="s">
        <v>74</v>
      </c>
      <c r="B97" s="104">
        <v>1</v>
      </c>
      <c r="C97" s="204" t="s">
        <v>114</v>
      </c>
      <c r="D97" s="205">
        <f>D96*$B$87</f>
        <v>14.98</v>
      </c>
      <c r="E97" s="147"/>
      <c r="F97" s="146">
        <f>F96*$B$87</f>
        <v>18.27</v>
      </c>
    </row>
    <row r="98" spans="1:10" ht="19.5" customHeight="1" thickBot="1" x14ac:dyDescent="0.4">
      <c r="A98" s="118" t="s">
        <v>76</v>
      </c>
      <c r="B98" s="147">
        <f>(B97/B96)*(B95/B94)*(B93/B92)*(B91/B90)*B89</f>
        <v>1250</v>
      </c>
      <c r="C98" s="204" t="s">
        <v>115</v>
      </c>
      <c r="D98" s="206">
        <f>D97*$B$83/100</f>
        <v>15.029434000000002</v>
      </c>
      <c r="E98" s="149"/>
      <c r="F98" s="148">
        <f>F97*$B$83/100</f>
        <v>18.330290999999999</v>
      </c>
    </row>
    <row r="99" spans="1:10" ht="19.5" customHeight="1" thickBot="1" x14ac:dyDescent="0.4">
      <c r="A99" s="255" t="s">
        <v>78</v>
      </c>
      <c r="B99" s="256"/>
      <c r="C99" s="204" t="s">
        <v>116</v>
      </c>
      <c r="D99" s="207">
        <f>D98/$B$98</f>
        <v>1.2023547200000002E-2</v>
      </c>
      <c r="E99" s="149"/>
      <c r="F99" s="152">
        <f>F98/$B$98</f>
        <v>1.46642328E-2</v>
      </c>
      <c r="H99" s="83"/>
    </row>
    <row r="100" spans="1:10" ht="19.5" customHeight="1" thickBot="1" x14ac:dyDescent="0.4">
      <c r="A100" s="257"/>
      <c r="B100" s="258"/>
      <c r="C100" s="204" t="s">
        <v>80</v>
      </c>
      <c r="D100" s="208">
        <f>$B$56/$B$116</f>
        <v>1.6666666666666666E-2</v>
      </c>
      <c r="F100" s="157"/>
      <c r="G100" s="209"/>
      <c r="H100" s="83"/>
    </row>
    <row r="101" spans="1:10" ht="18" x14ac:dyDescent="0.35">
      <c r="C101" s="204" t="s">
        <v>81</v>
      </c>
      <c r="D101" s="205">
        <f>D100*$B$98</f>
        <v>20.833333333333332</v>
      </c>
      <c r="F101" s="157"/>
      <c r="H101" s="83"/>
    </row>
    <row r="102" spans="1:10" ht="19.5" customHeight="1" thickBot="1" x14ac:dyDescent="0.4">
      <c r="C102" s="210" t="s">
        <v>82</v>
      </c>
      <c r="D102" s="211">
        <f>D101/B34</f>
        <v>20.833333333333332</v>
      </c>
      <c r="F102" s="161"/>
      <c r="H102" s="83"/>
      <c r="J102" s="212"/>
    </row>
    <row r="103" spans="1:10" ht="18" x14ac:dyDescent="0.35">
      <c r="C103" s="213" t="s">
        <v>117</v>
      </c>
      <c r="D103" s="214">
        <f>AVERAGE(E91:E94,G91:G94)</f>
        <v>0.48648065137119939</v>
      </c>
      <c r="F103" s="161"/>
      <c r="G103" s="209"/>
      <c r="H103" s="83"/>
      <c r="J103" s="215"/>
    </row>
    <row r="104" spans="1:10" ht="18" x14ac:dyDescent="0.35">
      <c r="C104" s="189" t="s">
        <v>84</v>
      </c>
      <c r="D104" s="216">
        <f>STDEV(E91:E94,G91:G94)/D103</f>
        <v>1.8635614821068701E-2</v>
      </c>
      <c r="F104" s="161"/>
      <c r="H104" s="83"/>
      <c r="J104" s="215"/>
    </row>
    <row r="105" spans="1:10" ht="19.5" customHeight="1" thickBot="1" x14ac:dyDescent="0.4">
      <c r="C105" s="191" t="s">
        <v>20</v>
      </c>
      <c r="D105" s="217">
        <f>COUNT(E91:E94,G91:G94)</f>
        <v>6</v>
      </c>
      <c r="F105" s="161"/>
      <c r="H105" s="83"/>
      <c r="J105" s="215"/>
    </row>
    <row r="106" spans="1:10" ht="19.5" customHeight="1" thickBot="1" x14ac:dyDescent="0.4">
      <c r="A106" s="165"/>
      <c r="B106" s="165"/>
      <c r="C106" s="165"/>
      <c r="D106" s="165"/>
      <c r="E106" s="165"/>
    </row>
    <row r="107" spans="1:10" ht="27" customHeight="1" thickBot="1" x14ac:dyDescent="0.5">
      <c r="A107" s="116" t="s">
        <v>118</v>
      </c>
      <c r="B107" s="117">
        <v>900</v>
      </c>
      <c r="C107" s="171" t="s">
        <v>119</v>
      </c>
      <c r="D107" s="171" t="s">
        <v>63</v>
      </c>
      <c r="E107" s="171" t="s">
        <v>120</v>
      </c>
      <c r="F107" s="218" t="s">
        <v>121</v>
      </c>
    </row>
    <row r="108" spans="1:10" ht="26.25" customHeight="1" x14ac:dyDescent="0.45">
      <c r="A108" s="118" t="s">
        <v>122</v>
      </c>
      <c r="B108" s="119">
        <v>5</v>
      </c>
      <c r="C108" s="172">
        <v>1</v>
      </c>
      <c r="D108" s="249">
        <v>0.42599999999999999</v>
      </c>
      <c r="E108" s="219">
        <f t="shared" ref="E108:E113" si="1">IF(ISBLANK(D108),"-",D108/$D$103*$D$100*$B$116)</f>
        <v>262.7031509676317</v>
      </c>
      <c r="F108" s="220">
        <f t="shared" ref="F108:F113" si="2">IF(ISBLANK(D108), "-", (E108/$B$56)*100)</f>
        <v>87.567716989210567</v>
      </c>
    </row>
    <row r="109" spans="1:10" ht="26.25" customHeight="1" x14ac:dyDescent="0.45">
      <c r="A109" s="118" t="s">
        <v>95</v>
      </c>
      <c r="B109" s="119">
        <v>100</v>
      </c>
      <c r="C109" s="176">
        <v>2</v>
      </c>
      <c r="D109" s="250">
        <v>0.434</v>
      </c>
      <c r="E109" s="221">
        <f t="shared" si="1"/>
        <v>267.63654347406606</v>
      </c>
      <c r="F109" s="222">
        <f t="shared" si="2"/>
        <v>89.21218115802202</v>
      </c>
    </row>
    <row r="110" spans="1:10" ht="26.25" customHeight="1" x14ac:dyDescent="0.45">
      <c r="A110" s="118" t="s">
        <v>96</v>
      </c>
      <c r="B110" s="119">
        <v>1</v>
      </c>
      <c r="C110" s="176">
        <v>3</v>
      </c>
      <c r="D110" s="250">
        <v>0.42299999999999999</v>
      </c>
      <c r="E110" s="221">
        <f t="shared" si="1"/>
        <v>260.85312877771878</v>
      </c>
      <c r="F110" s="222">
        <f t="shared" si="2"/>
        <v>86.951042925906265</v>
      </c>
    </row>
    <row r="111" spans="1:10" ht="26.25" customHeight="1" x14ac:dyDescent="0.45">
      <c r="A111" s="118" t="s">
        <v>97</v>
      </c>
      <c r="B111" s="119">
        <v>1</v>
      </c>
      <c r="C111" s="176">
        <v>4</v>
      </c>
      <c r="D111" s="250">
        <v>0.437</v>
      </c>
      <c r="E111" s="221">
        <f t="shared" si="1"/>
        <v>269.48656566397898</v>
      </c>
      <c r="F111" s="222">
        <f t="shared" si="2"/>
        <v>89.828855221326336</v>
      </c>
    </row>
    <row r="112" spans="1:10" ht="26.25" customHeight="1" x14ac:dyDescent="0.45">
      <c r="A112" s="118" t="s">
        <v>98</v>
      </c>
      <c r="B112" s="119">
        <v>1</v>
      </c>
      <c r="C112" s="176">
        <v>5</v>
      </c>
      <c r="D112" s="250">
        <v>0.42699999999999999</v>
      </c>
      <c r="E112" s="221">
        <f t="shared" si="1"/>
        <v>263.31982503093599</v>
      </c>
      <c r="F112" s="222">
        <f t="shared" si="2"/>
        <v>87.773275010311991</v>
      </c>
    </row>
    <row r="113" spans="1:10" ht="27" customHeight="1" thickBot="1" x14ac:dyDescent="0.5">
      <c r="A113" s="118" t="s">
        <v>100</v>
      </c>
      <c r="B113" s="119">
        <v>1</v>
      </c>
      <c r="C113" s="180">
        <v>6</v>
      </c>
      <c r="D113" s="251">
        <v>0.436</v>
      </c>
      <c r="E113" s="223">
        <f t="shared" si="1"/>
        <v>268.86989160067475</v>
      </c>
      <c r="F113" s="224">
        <f t="shared" si="2"/>
        <v>89.623297200224911</v>
      </c>
    </row>
    <row r="114" spans="1:10" ht="27" customHeight="1" thickBot="1" x14ac:dyDescent="0.5">
      <c r="A114" s="118" t="s">
        <v>101</v>
      </c>
      <c r="B114" s="119">
        <v>1</v>
      </c>
      <c r="C114" s="225"/>
      <c r="D114" s="147"/>
      <c r="E114" s="92"/>
      <c r="F114" s="222"/>
    </row>
    <row r="115" spans="1:10" ht="26.25" customHeight="1" x14ac:dyDescent="0.45">
      <c r="A115" s="118" t="s">
        <v>102</v>
      </c>
      <c r="B115" s="119">
        <v>1</v>
      </c>
      <c r="C115" s="225"/>
      <c r="D115" s="226" t="s">
        <v>71</v>
      </c>
      <c r="E115" s="227">
        <f>AVERAGE(E108:E113)</f>
        <v>265.47818425250102</v>
      </c>
      <c r="F115" s="228">
        <f>AVERAGE(F108:F113)</f>
        <v>88.492728084167013</v>
      </c>
    </row>
    <row r="116" spans="1:10" ht="27" customHeight="1" thickBot="1" x14ac:dyDescent="0.5">
      <c r="A116" s="118" t="s">
        <v>103</v>
      </c>
      <c r="B116" s="130">
        <f>(B115/B114)*(B113/B112)*(B111/B110)*(B109/B108)*B107</f>
        <v>18000</v>
      </c>
      <c r="C116" s="229"/>
      <c r="D116" s="230" t="s">
        <v>84</v>
      </c>
      <c r="E116" s="190">
        <f>STDEV(E108:E113)/E115</f>
        <v>1.3683323089452427E-2</v>
      </c>
      <c r="F116" s="231">
        <f>STDEV(F108:F113)/F115</f>
        <v>1.3683323089452431E-2</v>
      </c>
      <c r="I116" s="92"/>
    </row>
    <row r="117" spans="1:10" ht="27" customHeight="1" thickBot="1" x14ac:dyDescent="0.5">
      <c r="A117" s="255" t="s">
        <v>78</v>
      </c>
      <c r="B117" s="259"/>
      <c r="C117" s="232"/>
      <c r="D117" s="191" t="s">
        <v>20</v>
      </c>
      <c r="E117" s="233">
        <f>COUNT(E108:E113)</f>
        <v>6</v>
      </c>
      <c r="F117" s="234">
        <f>COUNT(F108:F113)</f>
        <v>6</v>
      </c>
      <c r="I117" s="92"/>
      <c r="J117" s="215"/>
    </row>
    <row r="118" spans="1:10" ht="26.25" customHeight="1" thickBot="1" x14ac:dyDescent="0.4">
      <c r="A118" s="257"/>
      <c r="B118" s="260"/>
      <c r="C118" s="92"/>
      <c r="D118" s="235"/>
      <c r="E118" s="261" t="s">
        <v>123</v>
      </c>
      <c r="F118" s="262"/>
      <c r="G118" s="92"/>
      <c r="H118" s="92"/>
      <c r="I118" s="92"/>
    </row>
    <row r="119" spans="1:10" ht="25.5" customHeight="1" x14ac:dyDescent="0.45">
      <c r="A119" s="236"/>
      <c r="B119" s="114"/>
      <c r="C119" s="92"/>
      <c r="D119" s="230" t="s">
        <v>124</v>
      </c>
      <c r="E119" s="237">
        <f>MIN(E108:E113)</f>
        <v>260.85312877771878</v>
      </c>
      <c r="F119" s="238">
        <f>MIN(F108:F113)</f>
        <v>86.951042925906265</v>
      </c>
      <c r="G119" s="92"/>
      <c r="H119" s="92"/>
      <c r="I119" s="92"/>
    </row>
    <row r="120" spans="1:10" ht="24" customHeight="1" thickBot="1" x14ac:dyDescent="0.5">
      <c r="A120" s="236"/>
      <c r="B120" s="114"/>
      <c r="C120" s="92"/>
      <c r="D120" s="158" t="s">
        <v>125</v>
      </c>
      <c r="E120" s="239">
        <f>MAX(E108:E113)</f>
        <v>269.48656566397898</v>
      </c>
      <c r="F120" s="240">
        <f>MAX(F108:F113)</f>
        <v>89.828855221326336</v>
      </c>
      <c r="G120" s="92"/>
      <c r="H120" s="92"/>
      <c r="I120" s="92"/>
    </row>
    <row r="121" spans="1:10" ht="27" customHeight="1" x14ac:dyDescent="0.35">
      <c r="A121" s="236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5">
      <c r="A122" s="236"/>
      <c r="B122" s="114"/>
      <c r="C122" s="92"/>
      <c r="D122" s="92"/>
      <c r="E122" s="92"/>
      <c r="F122" s="147"/>
      <c r="G122" s="92"/>
      <c r="H122" s="92"/>
      <c r="I122" s="92"/>
    </row>
    <row r="123" spans="1:10" ht="18" x14ac:dyDescent="0.35">
      <c r="A123" s="236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85">
      <c r="A124" s="102" t="s">
        <v>106</v>
      </c>
      <c r="B124" s="103" t="s">
        <v>126</v>
      </c>
      <c r="C124" s="263" t="str">
        <f>B26</f>
        <v>isoniazid</v>
      </c>
      <c r="D124" s="263"/>
      <c r="E124" s="92" t="s">
        <v>127</v>
      </c>
      <c r="F124" s="92"/>
      <c r="G124" s="241">
        <f>F115</f>
        <v>88.492728084167013</v>
      </c>
      <c r="H124" s="92"/>
      <c r="I124" s="92"/>
    </row>
    <row r="125" spans="1:10" ht="45.75" customHeight="1" x14ac:dyDescent="0.85">
      <c r="A125" s="102"/>
      <c r="B125" s="103" t="s">
        <v>128</v>
      </c>
      <c r="C125" s="103" t="s">
        <v>129</v>
      </c>
      <c r="D125" s="241">
        <f>MIN(F108:F113)</f>
        <v>86.951042925906265</v>
      </c>
      <c r="E125" s="103" t="s">
        <v>130</v>
      </c>
      <c r="F125" s="241">
        <f>MAX(F108:F113)</f>
        <v>89.828855221326336</v>
      </c>
      <c r="G125" s="242"/>
      <c r="H125" s="92"/>
      <c r="I125" s="92"/>
    </row>
    <row r="126" spans="1:10" ht="19.5" customHeight="1" thickBot="1" x14ac:dyDescent="0.4">
      <c r="A126" s="243"/>
      <c r="B126" s="243"/>
      <c r="C126" s="244"/>
      <c r="D126" s="244"/>
      <c r="E126" s="244"/>
      <c r="F126" s="244"/>
      <c r="G126" s="244"/>
      <c r="H126" s="244"/>
    </row>
    <row r="127" spans="1:10" ht="18" x14ac:dyDescent="0.35">
      <c r="B127" s="264" t="s">
        <v>26</v>
      </c>
      <c r="C127" s="264"/>
      <c r="E127" s="196" t="s">
        <v>27</v>
      </c>
      <c r="F127" s="245"/>
      <c r="G127" s="264" t="s">
        <v>28</v>
      </c>
      <c r="H127" s="264"/>
    </row>
    <row r="128" spans="1:10" ht="69.900000000000006" customHeight="1" x14ac:dyDescent="0.35">
      <c r="A128" s="102" t="s">
        <v>29</v>
      </c>
      <c r="B128" s="246"/>
      <c r="C128" s="246"/>
      <c r="E128" s="246"/>
      <c r="F128" s="92"/>
      <c r="G128" s="246"/>
      <c r="H128" s="246"/>
    </row>
    <row r="129" spans="1:9" ht="69.900000000000006" customHeight="1" x14ac:dyDescent="0.35">
      <c r="A129" s="102" t="s">
        <v>30</v>
      </c>
      <c r="B129" s="247"/>
      <c r="C129" s="247"/>
      <c r="E129" s="247"/>
      <c r="F129" s="92"/>
      <c r="G129" s="248"/>
      <c r="H129" s="248"/>
    </row>
    <row r="130" spans="1:9" ht="18" x14ac:dyDescent="0.35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" x14ac:dyDescent="0.35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" x14ac:dyDescent="0.35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" x14ac:dyDescent="0.35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" x14ac:dyDescent="0.35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" x14ac:dyDescent="0.35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" x14ac:dyDescent="0.35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" x14ac:dyDescent="0.35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" x14ac:dyDescent="0.35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3">
      <c r="A250" s="49">
        <v>0</v>
      </c>
    </row>
  </sheetData>
  <sheetProtection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9" operator="greaterThan">
      <formula>0.02</formula>
    </cfRule>
  </conditionalFormatting>
  <conditionalFormatting sqref="D51">
    <cfRule type="cellIs" dxfId="28" priority="8" operator="greaterThan">
      <formula>0.02</formula>
    </cfRule>
  </conditionalFormatting>
  <conditionalFormatting sqref="G73">
    <cfRule type="cellIs" dxfId="27" priority="7" operator="greaterThan">
      <formula>0.02</formula>
    </cfRule>
  </conditionalFormatting>
  <conditionalFormatting sqref="H73">
    <cfRule type="cellIs" dxfId="26" priority="6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4" operator="lessThanOrEqual">
      <formula>0.02</formula>
    </cfRule>
  </conditionalFormatting>
  <conditionalFormatting sqref="I39">
    <cfRule type="cellIs" dxfId="23" priority="3" operator="greaterThan">
      <formula>0.02</formula>
    </cfRule>
  </conditionalFormatting>
  <conditionalFormatting sqref="I92">
    <cfRule type="cellIs" dxfId="22" priority="2" operator="lessThanOrEqual">
      <formula>0.02</formula>
    </cfRule>
  </conditionalFormatting>
  <conditionalFormatting sqref="I92">
    <cfRule type="cellIs" dxfId="21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8" t="s">
        <v>31</v>
      </c>
      <c r="B11" s="299"/>
      <c r="C11" s="299"/>
      <c r="D11" s="299"/>
      <c r="E11" s="299"/>
      <c r="F11" s="300"/>
      <c r="G11" s="41"/>
    </row>
    <row r="12" spans="1:7" ht="16.5" customHeight="1" x14ac:dyDescent="0.3">
      <c r="A12" s="297" t="s">
        <v>32</v>
      </c>
      <c r="B12" s="297"/>
      <c r="C12" s="297"/>
      <c r="D12" s="297"/>
      <c r="E12" s="297"/>
      <c r="F12" s="297"/>
      <c r="G12" s="40"/>
    </row>
    <row r="14" spans="1:7" ht="16.5" customHeight="1" x14ac:dyDescent="0.3">
      <c r="A14" s="302" t="s">
        <v>33</v>
      </c>
      <c r="B14" s="302"/>
      <c r="C14" s="10" t="s">
        <v>5</v>
      </c>
    </row>
    <row r="15" spans="1:7" ht="16.5" customHeight="1" x14ac:dyDescent="0.3">
      <c r="A15" s="302" t="s">
        <v>34</v>
      </c>
      <c r="B15" s="302"/>
      <c r="C15" s="10" t="s">
        <v>7</v>
      </c>
    </row>
    <row r="16" spans="1:7" ht="16.5" customHeight="1" x14ac:dyDescent="0.3">
      <c r="A16" s="302" t="s">
        <v>35</v>
      </c>
      <c r="B16" s="302"/>
      <c r="C16" s="10" t="s">
        <v>9</v>
      </c>
    </row>
    <row r="17" spans="1:5" ht="16.5" customHeight="1" x14ac:dyDescent="0.3">
      <c r="A17" s="302" t="s">
        <v>36</v>
      </c>
      <c r="B17" s="302"/>
      <c r="C17" s="10" t="s">
        <v>11</v>
      </c>
    </row>
    <row r="18" spans="1:5" ht="16.5" customHeight="1" x14ac:dyDescent="0.3">
      <c r="A18" s="302" t="s">
        <v>37</v>
      </c>
      <c r="B18" s="302"/>
      <c r="C18" s="47" t="s">
        <v>12</v>
      </c>
    </row>
    <row r="19" spans="1:5" ht="16.5" customHeight="1" x14ac:dyDescent="0.3">
      <c r="A19" s="302" t="s">
        <v>38</v>
      </c>
      <c r="B19" s="30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7" t="s">
        <v>1</v>
      </c>
      <c r="B21" s="297"/>
      <c r="C21" s="9" t="s">
        <v>39</v>
      </c>
      <c r="D21" s="16"/>
    </row>
    <row r="22" spans="1:5" ht="15.75" customHeight="1" x14ac:dyDescent="0.3">
      <c r="A22" s="301"/>
      <c r="B22" s="301"/>
      <c r="C22" s="7"/>
      <c r="D22" s="301"/>
      <c r="E22" s="301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401.26</v>
      </c>
      <c r="D24" s="37">
        <f t="shared" ref="D24:D43" si="0">(C24-$C$46)/$C$46</f>
        <v>3.2829349888859978E-3</v>
      </c>
      <c r="E24" s="3"/>
    </row>
    <row r="25" spans="1:5" ht="15.75" customHeight="1" x14ac:dyDescent="0.3">
      <c r="C25" s="45">
        <v>401.95</v>
      </c>
      <c r="D25" s="38">
        <f t="shared" si="0"/>
        <v>5.0081635816745362E-3</v>
      </c>
      <c r="E25" s="3"/>
    </row>
    <row r="26" spans="1:5" ht="15.75" customHeight="1" x14ac:dyDescent="0.3">
      <c r="C26" s="45">
        <v>393.79</v>
      </c>
      <c r="D26" s="38">
        <f t="shared" si="0"/>
        <v>-1.5394539776520345E-2</v>
      </c>
      <c r="E26" s="3"/>
    </row>
    <row r="27" spans="1:5" ht="15.75" customHeight="1" x14ac:dyDescent="0.3">
      <c r="C27" s="45">
        <v>394.75</v>
      </c>
      <c r="D27" s="38">
        <f t="shared" si="0"/>
        <v>-1.2994221734379812E-2</v>
      </c>
      <c r="E27" s="3"/>
    </row>
    <row r="28" spans="1:5" ht="15.75" customHeight="1" x14ac:dyDescent="0.3">
      <c r="C28" s="45">
        <v>397.5</v>
      </c>
      <c r="D28" s="38">
        <f t="shared" si="0"/>
        <v>-6.1183106761645983E-3</v>
      </c>
      <c r="E28" s="3"/>
    </row>
    <row r="29" spans="1:5" ht="15.75" customHeight="1" x14ac:dyDescent="0.3">
      <c r="C29" s="45">
        <v>396.43</v>
      </c>
      <c r="D29" s="38">
        <f t="shared" si="0"/>
        <v>-8.7936651606337745E-3</v>
      </c>
      <c r="E29" s="3"/>
    </row>
    <row r="30" spans="1:5" ht="15.75" customHeight="1" x14ac:dyDescent="0.3">
      <c r="C30" s="45">
        <v>405.63</v>
      </c>
      <c r="D30" s="38">
        <f t="shared" si="0"/>
        <v>1.4209382743213457E-2</v>
      </c>
      <c r="E30" s="3"/>
    </row>
    <row r="31" spans="1:5" ht="15.75" customHeight="1" x14ac:dyDescent="0.3">
      <c r="C31" s="45">
        <v>397.31</v>
      </c>
      <c r="D31" s="38">
        <f t="shared" si="0"/>
        <v>-6.5933736220049168E-3</v>
      </c>
      <c r="E31" s="3"/>
    </row>
    <row r="32" spans="1:5" ht="15.75" customHeight="1" x14ac:dyDescent="0.3">
      <c r="C32" s="45">
        <v>404.82</v>
      </c>
      <c r="D32" s="38">
        <f t="shared" si="0"/>
        <v>1.2184114395157335E-2</v>
      </c>
      <c r="E32" s="3"/>
    </row>
    <row r="33" spans="1:7" ht="15.75" customHeight="1" x14ac:dyDescent="0.3">
      <c r="C33" s="45">
        <v>399.46</v>
      </c>
      <c r="D33" s="38">
        <f t="shared" si="0"/>
        <v>-1.2176613401276249E-3</v>
      </c>
      <c r="E33" s="3"/>
    </row>
    <row r="34" spans="1:7" ht="15.75" customHeight="1" x14ac:dyDescent="0.3">
      <c r="C34" s="45">
        <v>404.77</v>
      </c>
      <c r="D34" s="38">
        <f t="shared" si="0"/>
        <v>1.2059097830462485E-2</v>
      </c>
      <c r="E34" s="3"/>
    </row>
    <row r="35" spans="1:7" ht="15.75" customHeight="1" x14ac:dyDescent="0.3">
      <c r="C35" s="45">
        <v>396.58</v>
      </c>
      <c r="D35" s="38">
        <f t="shared" si="0"/>
        <v>-8.4186154665493642E-3</v>
      </c>
      <c r="E35" s="3"/>
    </row>
    <row r="36" spans="1:7" ht="15.75" customHeight="1" x14ac:dyDescent="0.3">
      <c r="C36" s="45">
        <v>402.01</v>
      </c>
      <c r="D36" s="38">
        <f t="shared" si="0"/>
        <v>5.1581834593083286E-3</v>
      </c>
      <c r="E36" s="3"/>
    </row>
    <row r="37" spans="1:7" ht="15.75" customHeight="1" x14ac:dyDescent="0.3">
      <c r="C37" s="45">
        <v>399.25</v>
      </c>
      <c r="D37" s="38">
        <f t="shared" si="0"/>
        <v>-1.7427309118458263E-3</v>
      </c>
      <c r="E37" s="3"/>
    </row>
    <row r="38" spans="1:7" ht="15.75" customHeight="1" x14ac:dyDescent="0.3">
      <c r="C38" s="45">
        <v>399.82</v>
      </c>
      <c r="D38" s="38">
        <f t="shared" si="0"/>
        <v>-3.1754207432487192E-4</v>
      </c>
      <c r="E38" s="3"/>
    </row>
    <row r="39" spans="1:7" ht="15.75" customHeight="1" x14ac:dyDescent="0.3">
      <c r="C39" s="45">
        <v>394.84</v>
      </c>
      <c r="D39" s="38">
        <f t="shared" si="0"/>
        <v>-1.2769191917929195E-2</v>
      </c>
      <c r="E39" s="3"/>
    </row>
    <row r="40" spans="1:7" ht="15.75" customHeight="1" x14ac:dyDescent="0.3">
      <c r="C40" s="45">
        <v>402.28</v>
      </c>
      <c r="D40" s="38">
        <f t="shared" si="0"/>
        <v>5.8332729086603228E-3</v>
      </c>
      <c r="E40" s="3"/>
    </row>
    <row r="41" spans="1:7" ht="15.75" customHeight="1" x14ac:dyDescent="0.3">
      <c r="C41" s="45">
        <v>403.71</v>
      </c>
      <c r="D41" s="38">
        <f t="shared" si="0"/>
        <v>9.4087466589322499E-3</v>
      </c>
      <c r="E41" s="3"/>
    </row>
    <row r="42" spans="1:7" ht="15.75" customHeight="1" x14ac:dyDescent="0.3">
      <c r="C42" s="45">
        <v>399.9</v>
      </c>
      <c r="D42" s="38">
        <f t="shared" si="0"/>
        <v>-1.1751557081319641E-4</v>
      </c>
      <c r="E42" s="3"/>
    </row>
    <row r="43" spans="1:7" ht="16.5" customHeight="1" x14ac:dyDescent="0.3">
      <c r="C43" s="46">
        <v>402.88</v>
      </c>
      <c r="D43" s="39">
        <f t="shared" si="0"/>
        <v>7.3334716849982442E-3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7998.94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399.947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5">
        <f>C46</f>
        <v>399.947</v>
      </c>
      <c r="C49" s="43">
        <f>-IF(C46&lt;=80,10%,IF(C46&lt;250,7.5%,5%))</f>
        <v>-0.05</v>
      </c>
      <c r="D49" s="31">
        <f>IF(C46&lt;=80,C46*0.9,IF(C46&lt;250,C46*0.925,C46*0.95))</f>
        <v>379.94964999999996</v>
      </c>
    </row>
    <row r="50" spans="1:6" ht="17.25" customHeight="1" x14ac:dyDescent="0.3">
      <c r="B50" s="296"/>
      <c r="C50" s="44">
        <f>IF(C46&lt;=80, 10%, IF(C46&lt;250, 7.5%, 5%))</f>
        <v>0.05</v>
      </c>
      <c r="D50" s="31">
        <f>IF(C46&lt;=80, C46*1.1, IF(C46&lt;250, C46*1.075, C46*1.05))</f>
        <v>419.94435000000004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ISONIAZID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2017-08-23T07:21:49Z</cp:lastPrinted>
  <dcterms:created xsi:type="dcterms:W3CDTF">2005-07-05T10:19:27Z</dcterms:created>
  <dcterms:modified xsi:type="dcterms:W3CDTF">2017-09-11T08:31:28Z</dcterms:modified>
</cp:coreProperties>
</file>