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ivudine" sheetId="5" r:id="rId1"/>
    <sheet name="SST Zidovudine" sheetId="1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Lamivudine!$A$1:$I$129</definedName>
    <definedName name="_xlnm.Print_Area" localSheetId="0">'SST Lamivudine'!$A$15:$G$61</definedName>
    <definedName name="_xlnm.Print_Area" localSheetId="1">'SST Zidovudine'!$A$15:$H$61</definedName>
    <definedName name="_xlnm.Print_Area" localSheetId="2">Uniformity!$A$12:$H$54</definedName>
    <definedName name="_xlnm.Print_Area" localSheetId="4">Zidovudine!$A$1:$I$129</definedName>
  </definedNames>
  <calcPr calcId="145621"/>
</workbook>
</file>

<file path=xl/calcChain.xml><?xml version="1.0" encoding="utf-8"?>
<calcChain xmlns="http://schemas.openxmlformats.org/spreadsheetml/2006/main">
  <c r="B21" i="1" l="1"/>
  <c r="E30" i="1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4" i="4"/>
  <c r="F42" i="4"/>
  <c r="D42" i="4"/>
  <c r="B34" i="4"/>
  <c r="D44" i="4" s="1"/>
  <c r="D45" i="4" s="1"/>
  <c r="B30" i="4"/>
  <c r="C124" i="3"/>
  <c r="B116" i="3"/>
  <c r="D100" i="3" s="1"/>
  <c r="B98" i="3"/>
  <c r="F95" i="3"/>
  <c r="I92" i="3" s="1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41" i="2"/>
  <c r="D40" i="2"/>
  <c r="D37" i="2"/>
  <c r="D36" i="2"/>
  <c r="D33" i="2"/>
  <c r="D32" i="2"/>
  <c r="D29" i="2"/>
  <c r="D28" i="2"/>
  <c r="D25" i="2"/>
  <c r="D24" i="2"/>
  <c r="C19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I39" i="4" l="1"/>
  <c r="D101" i="4"/>
  <c r="D49" i="4"/>
  <c r="F45" i="4"/>
  <c r="G38" i="4" s="1"/>
  <c r="D97" i="3"/>
  <c r="D98" i="3" s="1"/>
  <c r="D101" i="3"/>
  <c r="D102" i="3" s="1"/>
  <c r="I39" i="3"/>
  <c r="D45" i="3"/>
  <c r="D46" i="3" s="1"/>
  <c r="E41" i="4"/>
  <c r="D46" i="4"/>
  <c r="E39" i="4"/>
  <c r="E40" i="4"/>
  <c r="E38" i="4"/>
  <c r="B69" i="4"/>
  <c r="D102" i="4"/>
  <c r="D49" i="3"/>
  <c r="E40" i="3"/>
  <c r="F98" i="3"/>
  <c r="G92" i="3" s="1"/>
  <c r="F98" i="4"/>
  <c r="F99" i="4" s="1"/>
  <c r="D27" i="2"/>
  <c r="D31" i="2"/>
  <c r="D35" i="2"/>
  <c r="D39" i="2"/>
  <c r="D43" i="2"/>
  <c r="C49" i="2"/>
  <c r="F44" i="3"/>
  <c r="F45" i="3" s="1"/>
  <c r="F46" i="3" s="1"/>
  <c r="D97" i="4"/>
  <c r="D98" i="4" s="1"/>
  <c r="D99" i="4" s="1"/>
  <c r="D49" i="2"/>
  <c r="B57" i="3"/>
  <c r="B69" i="3" s="1"/>
  <c r="C50" i="2"/>
  <c r="D26" i="2"/>
  <c r="D30" i="2"/>
  <c r="D34" i="2"/>
  <c r="D38" i="2"/>
  <c r="D42" i="2"/>
  <c r="B49" i="2"/>
  <c r="D50" i="2"/>
  <c r="G40" i="4" l="1"/>
  <c r="G39" i="4"/>
  <c r="G41" i="4"/>
  <c r="F46" i="4"/>
  <c r="G93" i="3"/>
  <c r="E39" i="3"/>
  <c r="E41" i="3"/>
  <c r="E38" i="3"/>
  <c r="G41" i="3"/>
  <c r="G91" i="4"/>
  <c r="D99" i="3"/>
  <c r="E93" i="3"/>
  <c r="E91" i="3"/>
  <c r="G39" i="3"/>
  <c r="G38" i="3"/>
  <c r="E93" i="4"/>
  <c r="G92" i="4"/>
  <c r="E92" i="3"/>
  <c r="E94" i="3"/>
  <c r="G91" i="3"/>
  <c r="G94" i="3"/>
  <c r="F99" i="3"/>
  <c r="E92" i="4"/>
  <c r="E94" i="4"/>
  <c r="E42" i="4"/>
  <c r="G40" i="3"/>
  <c r="G94" i="4"/>
  <c r="G93" i="4"/>
  <c r="E91" i="4"/>
  <c r="D50" i="4" l="1"/>
  <c r="G67" i="4" s="1"/>
  <c r="H67" i="4" s="1"/>
  <c r="D52" i="4"/>
  <c r="G42" i="4"/>
  <c r="G95" i="4"/>
  <c r="E42" i="3"/>
  <c r="D50" i="3"/>
  <c r="G69" i="3" s="1"/>
  <c r="H69" i="3" s="1"/>
  <c r="G95" i="3"/>
  <c r="G42" i="3"/>
  <c r="D51" i="4"/>
  <c r="G63" i="4"/>
  <c r="H63" i="4" s="1"/>
  <c r="E95" i="3"/>
  <c r="D105" i="3"/>
  <c r="D103" i="3"/>
  <c r="D103" i="4"/>
  <c r="E95" i="4"/>
  <c r="D105" i="4"/>
  <c r="D52" i="3"/>
  <c r="G60" i="4" l="1"/>
  <c r="H60" i="4" s="1"/>
  <c r="G69" i="4"/>
  <c r="H69" i="4" s="1"/>
  <c r="G61" i="4"/>
  <c r="H61" i="4" s="1"/>
  <c r="G66" i="4"/>
  <c r="H66" i="4" s="1"/>
  <c r="G70" i="4"/>
  <c r="H70" i="4" s="1"/>
  <c r="G62" i="4"/>
  <c r="H62" i="4" s="1"/>
  <c r="G71" i="4"/>
  <c r="H71" i="4" s="1"/>
  <c r="G65" i="4"/>
  <c r="H65" i="4" s="1"/>
  <c r="G64" i="4"/>
  <c r="H64" i="4" s="1"/>
  <c r="G68" i="4"/>
  <c r="H68" i="4" s="1"/>
  <c r="G62" i="3"/>
  <c r="H62" i="3" s="1"/>
  <c r="G66" i="3"/>
  <c r="H66" i="3" s="1"/>
  <c r="G63" i="3"/>
  <c r="H63" i="3" s="1"/>
  <c r="G67" i="3"/>
  <c r="H67" i="3" s="1"/>
  <c r="G71" i="3"/>
  <c r="H71" i="3" s="1"/>
  <c r="D51" i="3"/>
  <c r="G61" i="3"/>
  <c r="H61" i="3" s="1"/>
  <c r="G70" i="3"/>
  <c r="H70" i="3" s="1"/>
  <c r="G64" i="3"/>
  <c r="H64" i="3" s="1"/>
  <c r="G68" i="3"/>
  <c r="H68" i="3" s="1"/>
  <c r="G65" i="3"/>
  <c r="H65" i="3" s="1"/>
  <c r="G60" i="3"/>
  <c r="H60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74" i="4"/>
  <c r="H72" i="4"/>
  <c r="E120" i="4"/>
  <c r="E117" i="4"/>
  <c r="F108" i="4"/>
  <c r="E115" i="4"/>
  <c r="E116" i="4" s="1"/>
  <c r="E119" i="4"/>
  <c r="H74" i="3"/>
  <c r="H72" i="3"/>
  <c r="E115" i="3"/>
  <c r="E116" i="3" s="1"/>
  <c r="E119" i="3"/>
  <c r="E120" i="3"/>
  <c r="E117" i="3"/>
  <c r="F108" i="3"/>
  <c r="G76" i="3" l="1"/>
  <c r="H73" i="3"/>
  <c r="F125" i="4"/>
  <c r="F120" i="4"/>
  <c r="F117" i="4"/>
  <c r="D125" i="4"/>
  <c r="F115" i="4"/>
  <c r="F119" i="4"/>
  <c r="F119" i="3"/>
  <c r="F125" i="3"/>
  <c r="F120" i="3"/>
  <c r="F117" i="3"/>
  <c r="D125" i="3"/>
  <c r="F115" i="3"/>
  <c r="G76" i="4"/>
  <c r="H73" i="4"/>
  <c r="G124" i="4" l="1"/>
  <c r="F116" i="4"/>
  <c r="G124" i="3"/>
  <c r="F116" i="3"/>
</calcChain>
</file>

<file path=xl/sharedStrings.xml><?xml version="1.0" encoding="utf-8"?>
<sst xmlns="http://schemas.openxmlformats.org/spreadsheetml/2006/main" count="457" uniqueCount="142">
  <si>
    <t>HPLC System Suitability Report</t>
  </si>
  <si>
    <t>Analysis Data</t>
  </si>
  <si>
    <t>Assay</t>
  </si>
  <si>
    <t>Sample(s)</t>
  </si>
  <si>
    <t>Reference Substance:</t>
  </si>
  <si>
    <t>LAMIVUDINE/ZIDOVUDINE DISPERSIBLE TABLETS 30 MG/60 MG</t>
  </si>
  <si>
    <t>% age Purity:</t>
  </si>
  <si>
    <t>NDQB201707049</t>
  </si>
  <si>
    <t>Weight (mg):</t>
  </si>
  <si>
    <t xml:space="preserve">LAMIVUDINE  &amp; ZIDOVUDINE </t>
  </si>
  <si>
    <t>Standard Conc (mg/mL):</t>
  </si>
  <si>
    <t>Each dispersible tablet contains: Lamivudine USP 30 mg and Zidovudine USP 60 mg.</t>
  </si>
  <si>
    <t>2017-07-19 15:20:56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</si>
  <si>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</si>
  <si>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</si>
  <si>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</si>
  <si>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</si>
  <si>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</si>
  <si>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</si>
  <si>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</si>
  <si>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</si>
  <si>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</si>
  <si>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</si>
  <si>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</si>
  <si>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</si>
  <si>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</si>
  <si>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</si>
  <si>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</si>
  <si>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</si>
  <si>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</si>
  <si>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</si>
  <si>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</si>
  <si>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</si>
  <si>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</si>
  <si>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</si>
  <si>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</si>
  <si>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</si>
  <si>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</si>
  <si>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</si>
  <si>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</si>
  <si>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</si>
  <si>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</si>
  <si>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</si>
  <si>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</si>
  <si>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</si>
  <si>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</si>
  <si>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</si>
  <si>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</si>
  <si>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</si>
  <si>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</si>
  <si>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</si>
  <si>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</si>
  <si>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</si>
  <si>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</si>
  <si>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</si>
  <si>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</si>
  <si>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</si>
  <si>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</si>
  <si>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</si>
  <si>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</si>
  <si>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</si>
  <si>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</si>
  <si>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</si>
  <si>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</si>
  <si>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</si>
  <si>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</si>
  <si>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</si>
  <si>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</si>
  <si>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</si>
  <si>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</si>
  <si>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</si>
  <si>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</si>
  <si>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</si>
  <si>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</si>
  <si>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</si>
  <si>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</si>
  <si>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</si>
  <si>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</si>
  <si>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</si>
  <si>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</si>
  <si>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</si>
  <si>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</si>
  <si>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</si>
  <si>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</si>
  <si>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</si>
  <si>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</si>
  <si>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</si>
  <si>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</si>
  <si>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</si>
  <si>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</si>
  <si>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</si>
  <si>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</si>
  <si>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</si>
  <si>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</si>
  <si>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</si>
  <si>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</si>
  <si>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</si>
  <si>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</si>
  <si>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</si>
  <si>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</si>
  <si>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</si>
  <si>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</si>
  <si>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</si>
  <si>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</si>
  <si>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</si>
  <si>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</si>
  <si>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</si>
  <si>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</si>
  <si>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</si>
  <si>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</si>
  <si>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</si>
  <si>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</si>
  <si>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</si>
  <si>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</si>
  <si>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</si>
  <si>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</si>
  <si>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</si>
  <si>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</si>
  <si>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</si>
  <si>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</si>
  <si>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</si>
  <si>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</si>
  <si>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</si>
  <si>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</si>
  <si>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</si>
  <si>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</si>
  <si>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</si>
  <si>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</si>
  <si>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</si>
  <si>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</si>
  <si>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</si>
  <si>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LAMIVUDINE </t>
  </si>
  <si>
    <t>L3-10</t>
  </si>
  <si>
    <t xml:space="preserve">ZIDOVUDINE </t>
  </si>
  <si>
    <t>Z1-3</t>
  </si>
  <si>
    <t xml:space="preserve">LAMIVUDINE  </t>
  </si>
  <si>
    <t xml:space="preserve"> ZIDOVUDINE </t>
  </si>
  <si>
    <t>Resolution(USP)</t>
  </si>
  <si>
    <t>RUTTO KENNEDY</t>
  </si>
  <si>
    <t>21/08/2017</t>
  </si>
  <si>
    <t>Resolution between peak pair of Lamivudine and Zidovudine is NLT 3.0</t>
  </si>
  <si>
    <r>
      <t xml:space="preserve">Resolution between peak pair of Lamivudine and Zidovudine is </t>
    </r>
    <r>
      <rPr>
        <b/>
        <sz val="12"/>
        <color rgb="FF000000"/>
        <rFont val="Book Antiqua"/>
        <family val="1"/>
      </rPr>
      <t>NLT 8.0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</si>
</sst>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0" fontId="2" fillId="2" borderId="0" xfId="0" applyNumberFormat="1" applyFont="1" applyFill="1" applyBorder="1"/>
    <xf numFmtId="0" fontId="6" fillId="2" borderId="0" xfId="1" applyFont="1" applyFill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8" t="s">
        <v>135</v>
      </c>
      <c r="C18" s="71"/>
      <c r="D18" s="71"/>
      <c r="E18" s="71"/>
    </row>
    <row r="19" spans="1:5" ht="16.5" customHeight="1" x14ac:dyDescent="0.3">
      <c r="A19" s="74" t="s">
        <v>6</v>
      </c>
      <c r="B19" s="12">
        <v>99.3</v>
      </c>
      <c r="C19" s="71"/>
      <c r="D19" s="71"/>
      <c r="E19" s="71"/>
    </row>
    <row r="20" spans="1:5" ht="16.5" customHeight="1" x14ac:dyDescent="0.3">
      <c r="A20" s="8" t="s">
        <v>8</v>
      </c>
      <c r="B20" s="12">
        <v>14.12</v>
      </c>
      <c r="C20" s="71"/>
      <c r="D20" s="71"/>
      <c r="E20" s="71"/>
    </row>
    <row r="21" spans="1:5" ht="16.5" customHeight="1" x14ac:dyDescent="0.3">
      <c r="A21" s="8" t="s">
        <v>10</v>
      </c>
      <c r="B21" s="13">
        <f>14.12/20*4/20</f>
        <v>0.14119999999999999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35694733</v>
      </c>
      <c r="C24" s="18">
        <v>6558.2</v>
      </c>
      <c r="D24" s="19">
        <v>1.1000000000000001</v>
      </c>
      <c r="E24" s="20">
        <v>3.6</v>
      </c>
    </row>
    <row r="25" spans="1:5" ht="16.5" customHeight="1" x14ac:dyDescent="0.3">
      <c r="A25" s="17">
        <v>2</v>
      </c>
      <c r="B25" s="18">
        <v>35849272</v>
      </c>
      <c r="C25" s="18">
        <v>6564</v>
      </c>
      <c r="D25" s="19">
        <v>1.1000000000000001</v>
      </c>
      <c r="E25" s="19">
        <v>3.6</v>
      </c>
    </row>
    <row r="26" spans="1:5" ht="16.5" customHeight="1" x14ac:dyDescent="0.3">
      <c r="A26" s="17">
        <v>3</v>
      </c>
      <c r="B26" s="18">
        <v>35754264</v>
      </c>
      <c r="C26" s="18">
        <v>6545.8</v>
      </c>
      <c r="D26" s="19">
        <v>1.1000000000000001</v>
      </c>
      <c r="E26" s="19">
        <v>3.6</v>
      </c>
    </row>
    <row r="27" spans="1:5" ht="16.5" customHeight="1" x14ac:dyDescent="0.3">
      <c r="A27" s="17">
        <v>4</v>
      </c>
      <c r="B27" s="18">
        <v>35583708</v>
      </c>
      <c r="C27" s="18">
        <v>6554.4</v>
      </c>
      <c r="D27" s="19">
        <v>1.1000000000000001</v>
      </c>
      <c r="E27" s="19">
        <v>3.6</v>
      </c>
    </row>
    <row r="28" spans="1:5" ht="16.5" customHeight="1" x14ac:dyDescent="0.3">
      <c r="A28" s="17">
        <v>5</v>
      </c>
      <c r="B28" s="18">
        <v>35747739</v>
      </c>
      <c r="C28" s="18">
        <v>6551.2</v>
      </c>
      <c r="D28" s="19">
        <v>1.1000000000000001</v>
      </c>
      <c r="E28" s="19">
        <v>3.6</v>
      </c>
    </row>
    <row r="29" spans="1:5" ht="16.5" customHeight="1" x14ac:dyDescent="0.3">
      <c r="A29" s="17">
        <v>6</v>
      </c>
      <c r="B29" s="21">
        <v>35657854</v>
      </c>
      <c r="C29" s="21">
        <v>6544</v>
      </c>
      <c r="D29" s="22">
        <v>1.1000000000000001</v>
      </c>
      <c r="E29" s="22">
        <v>3.6</v>
      </c>
    </row>
    <row r="30" spans="1:5" ht="16.5" customHeight="1" x14ac:dyDescent="0.3">
      <c r="A30" s="23" t="s">
        <v>18</v>
      </c>
      <c r="B30" s="24">
        <f>AVERAGE(B24:B29)</f>
        <v>35714595</v>
      </c>
      <c r="C30" s="25">
        <f>AVERAGE(C24:C29)</f>
        <v>6552.9333333333334</v>
      </c>
      <c r="D30" s="26">
        <f>AVERAGE(D24:D29)</f>
        <v>1.0999999999999999</v>
      </c>
      <c r="E30" s="26">
        <f>AVERAGE(E24:E29)</f>
        <v>3.6</v>
      </c>
    </row>
    <row r="31" spans="1:5" ht="16.5" customHeight="1" x14ac:dyDescent="0.3">
      <c r="A31" s="27" t="s">
        <v>19</v>
      </c>
      <c r="B31" s="28">
        <f>(STDEV(B24:B29)/B30)</f>
        <v>2.5526043257004354E-3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407" customFormat="1" ht="15.75" customHeight="1" x14ac:dyDescent="0.25">
      <c r="A33" s="71"/>
      <c r="B33" s="71"/>
      <c r="C33" s="71"/>
      <c r="D33" s="71"/>
      <c r="E33" s="71"/>
    </row>
    <row r="34" spans="1:5" s="407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25">
      <c r="A37" s="71"/>
      <c r="B37" s="71" t="s">
        <v>140</v>
      </c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/>
      <c r="C39" s="71"/>
      <c r="D39" s="71"/>
      <c r="E39" s="71"/>
    </row>
    <row r="40" spans="1:5" ht="16.5" customHeight="1" x14ac:dyDescent="0.3">
      <c r="A40" s="74" t="s">
        <v>6</v>
      </c>
      <c r="B40" s="12"/>
      <c r="C40" s="71"/>
      <c r="D40" s="71"/>
      <c r="E40" s="71"/>
    </row>
    <row r="41" spans="1:5" ht="16.5" customHeight="1" x14ac:dyDescent="0.3">
      <c r="A41" s="8" t="s">
        <v>8</v>
      </c>
      <c r="B41" s="12"/>
      <c r="C41" s="71"/>
      <c r="D41" s="71"/>
      <c r="E41" s="71"/>
    </row>
    <row r="42" spans="1:5" ht="16.5" customHeight="1" x14ac:dyDescent="0.3">
      <c r="A42" s="8" t="s">
        <v>10</v>
      </c>
      <c r="B42" s="13"/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0</v>
      </c>
      <c r="C53" s="33"/>
      <c r="D53" s="72"/>
      <c r="E53" s="35"/>
    </row>
    <row r="54" spans="1:7" s="407" customFormat="1" ht="15.75" customHeight="1" x14ac:dyDescent="0.25">
      <c r="A54" s="71"/>
      <c r="B54" s="71"/>
      <c r="C54" s="71"/>
      <c r="D54" s="71"/>
      <c r="E54" s="71"/>
    </row>
    <row r="55" spans="1:7" s="407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525" t="s">
        <v>141</v>
      </c>
      <c r="D58" s="42"/>
      <c r="F58" s="43"/>
      <c r="G58" s="43"/>
    </row>
    <row r="59" spans="1:7" ht="15" customHeight="1" x14ac:dyDescent="0.3">
      <c r="B59" s="474" t="s">
        <v>26</v>
      </c>
      <c r="C59" s="474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8" t="s">
        <v>138</v>
      </c>
      <c r="C60" s="48"/>
      <c r="E60" s="48" t="s">
        <v>139</v>
      </c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30" sqref="B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7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73" t="s">
        <v>0</v>
      </c>
      <c r="B15" s="473"/>
      <c r="C15" s="473"/>
      <c r="D15" s="473"/>
      <c r="E15" s="473"/>
      <c r="F15" s="473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8" t="s">
        <v>136</v>
      </c>
      <c r="C18" s="10"/>
      <c r="D18" s="10"/>
      <c r="E18" s="71"/>
      <c r="F18" s="10"/>
    </row>
    <row r="19" spans="1:7" ht="16.5" customHeight="1" x14ac:dyDescent="0.3">
      <c r="A19" s="11" t="s">
        <v>6</v>
      </c>
      <c r="B19" s="12">
        <v>99.65</v>
      </c>
      <c r="C19" s="10"/>
      <c r="D19" s="10"/>
      <c r="E19" s="71"/>
      <c r="F19" s="10"/>
    </row>
    <row r="20" spans="1:7" ht="16.5" customHeight="1" x14ac:dyDescent="0.3">
      <c r="A20" s="7" t="s">
        <v>8</v>
      </c>
      <c r="B20" s="12">
        <v>28.3</v>
      </c>
      <c r="C20" s="10"/>
      <c r="D20" s="10"/>
      <c r="E20" s="71"/>
      <c r="F20" s="10"/>
    </row>
    <row r="21" spans="1:7" ht="16.5" customHeight="1" x14ac:dyDescent="0.3">
      <c r="A21" s="7" t="s">
        <v>10</v>
      </c>
      <c r="B21" s="13">
        <f>28.3/20*4/20</f>
        <v>0.28300000000000003</v>
      </c>
      <c r="C21" s="10"/>
      <c r="D21" s="10"/>
      <c r="E21" s="71"/>
      <c r="F21" s="10"/>
    </row>
    <row r="22" spans="1:7" ht="15.75" customHeight="1" x14ac:dyDescent="0.25">
      <c r="A22" s="10"/>
      <c r="B22" s="10"/>
      <c r="C22" s="10"/>
      <c r="D22" s="10"/>
      <c r="E22" s="71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137</v>
      </c>
      <c r="F23" s="16" t="s">
        <v>17</v>
      </c>
    </row>
    <row r="24" spans="1:7" ht="16.5" customHeight="1" x14ac:dyDescent="0.3">
      <c r="A24" s="17">
        <v>1</v>
      </c>
      <c r="B24" s="18">
        <v>63567126</v>
      </c>
      <c r="C24" s="18">
        <v>7747.7</v>
      </c>
      <c r="D24" s="19">
        <v>1.1000000000000001</v>
      </c>
      <c r="E24" s="19">
        <v>5.4</v>
      </c>
      <c r="F24" s="20">
        <v>4.7</v>
      </c>
    </row>
    <row r="25" spans="1:7" ht="16.5" customHeight="1" x14ac:dyDescent="0.3">
      <c r="A25" s="17">
        <v>2</v>
      </c>
      <c r="B25" s="18">
        <v>63840187</v>
      </c>
      <c r="C25" s="18">
        <v>7735</v>
      </c>
      <c r="D25" s="19">
        <v>1.1000000000000001</v>
      </c>
      <c r="E25" s="19">
        <v>5.4</v>
      </c>
      <c r="F25" s="19">
        <v>4.7</v>
      </c>
    </row>
    <row r="26" spans="1:7" ht="16.5" customHeight="1" x14ac:dyDescent="0.3">
      <c r="A26" s="17">
        <v>3</v>
      </c>
      <c r="B26" s="18">
        <v>63676430</v>
      </c>
      <c r="C26" s="18">
        <v>7719.5</v>
      </c>
      <c r="D26" s="19">
        <v>1.1000000000000001</v>
      </c>
      <c r="E26" s="19">
        <v>5.4</v>
      </c>
      <c r="F26" s="19">
        <v>4.7</v>
      </c>
    </row>
    <row r="27" spans="1:7" ht="16.5" customHeight="1" x14ac:dyDescent="0.3">
      <c r="A27" s="17">
        <v>4</v>
      </c>
      <c r="B27" s="18">
        <v>63355953</v>
      </c>
      <c r="C27" s="18">
        <v>7706.9</v>
      </c>
      <c r="D27" s="19">
        <v>1.1000000000000001</v>
      </c>
      <c r="E27" s="19">
        <v>5.4</v>
      </c>
      <c r="F27" s="19">
        <v>4.7</v>
      </c>
    </row>
    <row r="28" spans="1:7" ht="16.5" customHeight="1" x14ac:dyDescent="0.3">
      <c r="A28" s="17">
        <v>5</v>
      </c>
      <c r="B28" s="18">
        <v>63656313</v>
      </c>
      <c r="C28" s="18">
        <v>7731.5</v>
      </c>
      <c r="D28" s="19">
        <v>1.1000000000000001</v>
      </c>
      <c r="E28" s="19">
        <v>5.4</v>
      </c>
      <c r="F28" s="19">
        <v>4.7</v>
      </c>
    </row>
    <row r="29" spans="1:7" ht="16.5" customHeight="1" x14ac:dyDescent="0.3">
      <c r="A29" s="17">
        <v>6</v>
      </c>
      <c r="B29" s="21">
        <v>63514299</v>
      </c>
      <c r="C29" s="21">
        <v>7715</v>
      </c>
      <c r="D29" s="22">
        <v>1.1000000000000001</v>
      </c>
      <c r="E29" s="22">
        <v>5.4</v>
      </c>
      <c r="F29" s="22">
        <v>4.7</v>
      </c>
    </row>
    <row r="30" spans="1:7" ht="16.5" customHeight="1" x14ac:dyDescent="0.3">
      <c r="A30" s="23" t="s">
        <v>18</v>
      </c>
      <c r="B30" s="24">
        <f>AVERAGE(B24:B29)</f>
        <v>63601718</v>
      </c>
      <c r="C30" s="25">
        <f>AVERAGE(C24:C29)</f>
        <v>7725.9333333333334</v>
      </c>
      <c r="D30" s="26">
        <f>AVERAGE(D24:D29)</f>
        <v>1.0999999999999999</v>
      </c>
      <c r="E30" s="26">
        <f>AVERAGE(E24:E29)</f>
        <v>5.3999999999999995</v>
      </c>
      <c r="F30" s="26">
        <f>AVERAGE(F24:F29)</f>
        <v>4.7</v>
      </c>
    </row>
    <row r="31" spans="1:7" ht="16.5" customHeight="1" x14ac:dyDescent="0.3">
      <c r="A31" s="27" t="s">
        <v>19</v>
      </c>
      <c r="B31" s="28">
        <f>(STDEV(B24:B29)/B30)</f>
        <v>2.580358831388233E-3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35"/>
    </row>
    <row r="33" spans="1:7" s="2" customFormat="1" ht="15.75" customHeight="1" x14ac:dyDescent="0.25">
      <c r="A33" s="10"/>
      <c r="B33" s="10"/>
      <c r="C33" s="10"/>
      <c r="D33" s="10"/>
      <c r="E33" s="71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25">
      <c r="A37" s="10"/>
      <c r="B37" s="10" t="s">
        <v>140</v>
      </c>
      <c r="C37" s="10"/>
      <c r="D37" s="10"/>
      <c r="E37" s="71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/>
      <c r="C39" s="10"/>
      <c r="D39" s="10"/>
      <c r="E39" s="71"/>
      <c r="F39" s="10"/>
    </row>
    <row r="40" spans="1:7" ht="16.5" customHeight="1" x14ac:dyDescent="0.3">
      <c r="A40" s="11" t="s">
        <v>6</v>
      </c>
      <c r="B40" s="12"/>
      <c r="C40" s="10"/>
      <c r="D40" s="10"/>
      <c r="E40" s="71"/>
      <c r="F40" s="10"/>
    </row>
    <row r="41" spans="1:7" ht="16.5" customHeight="1" x14ac:dyDescent="0.3">
      <c r="A41" s="7" t="s">
        <v>8</v>
      </c>
      <c r="B41" s="12"/>
      <c r="C41" s="10"/>
      <c r="D41" s="10"/>
      <c r="E41" s="71"/>
      <c r="F41" s="10"/>
    </row>
    <row r="42" spans="1:7" ht="16.5" customHeight="1" x14ac:dyDescent="0.3">
      <c r="A42" s="7" t="s">
        <v>10</v>
      </c>
      <c r="B42" s="13"/>
      <c r="C42" s="10"/>
      <c r="D42" s="10"/>
      <c r="E42" s="71"/>
      <c r="F42" s="10"/>
    </row>
    <row r="43" spans="1:7" ht="15.75" customHeight="1" x14ac:dyDescent="0.25">
      <c r="A43" s="10"/>
      <c r="B43" s="10"/>
      <c r="C43" s="10"/>
      <c r="D43" s="10"/>
      <c r="E43" s="71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/>
      <c r="F44" s="16" t="s">
        <v>17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72"/>
      <c r="F53" s="35"/>
    </row>
    <row r="54" spans="1:8" s="2" customFormat="1" ht="15.75" customHeight="1" x14ac:dyDescent="0.25">
      <c r="A54" s="10"/>
      <c r="B54" s="10"/>
      <c r="C54" s="10"/>
      <c r="D54" s="10"/>
      <c r="E54" s="71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3">
      <c r="A58" s="41"/>
      <c r="B58" s="525" t="s">
        <v>141</v>
      </c>
      <c r="D58" s="42"/>
      <c r="E58" s="524"/>
      <c r="G58" s="43"/>
      <c r="H58" s="43"/>
    </row>
    <row r="59" spans="1:8" ht="15" customHeight="1" x14ac:dyDescent="0.3">
      <c r="B59" s="474" t="s">
        <v>26</v>
      </c>
      <c r="C59" s="474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7" t="s">
        <v>138</v>
      </c>
      <c r="C60" s="47"/>
      <c r="F60" s="47" t="s">
        <v>139</v>
      </c>
      <c r="G60" s="2"/>
      <c r="H60" s="48"/>
    </row>
    <row r="61" spans="1:8" ht="15" customHeight="1" x14ac:dyDescent="0.3">
      <c r="A61" s="46" t="s">
        <v>30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H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8" t="s">
        <v>31</v>
      </c>
      <c r="B11" s="479"/>
      <c r="C11" s="479"/>
      <c r="D11" s="479"/>
      <c r="E11" s="479"/>
      <c r="F11" s="480"/>
      <c r="G11" s="90"/>
    </row>
    <row r="12" spans="1:7" ht="16.5" customHeight="1" x14ac:dyDescent="0.3">
      <c r="A12" s="477" t="s">
        <v>32</v>
      </c>
      <c r="B12" s="477"/>
      <c r="C12" s="477"/>
      <c r="D12" s="477"/>
      <c r="E12" s="477"/>
      <c r="F12" s="477"/>
      <c r="G12" s="89"/>
    </row>
    <row r="14" spans="1:7" ht="16.5" customHeight="1" x14ac:dyDescent="0.3">
      <c r="A14" s="482" t="s">
        <v>33</v>
      </c>
      <c r="B14" s="482"/>
      <c r="C14" s="59" t="s">
        <v>5</v>
      </c>
    </row>
    <row r="15" spans="1:7" ht="16.5" customHeight="1" x14ac:dyDescent="0.3">
      <c r="A15" s="482" t="s">
        <v>34</v>
      </c>
      <c r="B15" s="482"/>
      <c r="C15" s="59" t="s">
        <v>7</v>
      </c>
    </row>
    <row r="16" spans="1:7" ht="16.5" customHeight="1" x14ac:dyDescent="0.3">
      <c r="A16" s="482" t="s">
        <v>35</v>
      </c>
      <c r="B16" s="482"/>
      <c r="C16" s="59" t="s">
        <v>9</v>
      </c>
    </row>
    <row r="17" spans="1:5" ht="16.5" customHeight="1" x14ac:dyDescent="0.3">
      <c r="A17" s="482" t="s">
        <v>36</v>
      </c>
      <c r="B17" s="482"/>
      <c r="C17" s="59" t="s">
        <v>11</v>
      </c>
    </row>
    <row r="18" spans="1:5" ht="16.5" customHeight="1" x14ac:dyDescent="0.3">
      <c r="A18" s="482" t="s">
        <v>37</v>
      </c>
      <c r="B18" s="482"/>
      <c r="C18" s="96" t="s">
        <v>12</v>
      </c>
    </row>
    <row r="19" spans="1:5" ht="16.5" customHeight="1" x14ac:dyDescent="0.3">
      <c r="A19" s="482" t="s">
        <v>38</v>
      </c>
      <c r="B19" s="482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7" t="s">
        <v>1</v>
      </c>
      <c r="B21" s="477"/>
      <c r="C21" s="58" t="s">
        <v>39</v>
      </c>
      <c r="D21" s="65"/>
    </row>
    <row r="22" spans="1:5" ht="15.75" customHeight="1" x14ac:dyDescent="0.3">
      <c r="A22" s="481"/>
      <c r="B22" s="481"/>
      <c r="C22" s="56"/>
      <c r="D22" s="481"/>
      <c r="E22" s="481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251.2</v>
      </c>
      <c r="D24" s="86">
        <f t="shared" ref="D24:D43" si="0">(C24-$C$46)/$C$46</f>
        <v>-3.8071065989848034E-3</v>
      </c>
      <c r="E24" s="52"/>
    </row>
    <row r="25" spans="1:5" ht="15.75" customHeight="1" x14ac:dyDescent="0.3">
      <c r="C25" s="94">
        <v>252.4</v>
      </c>
      <c r="D25" s="87">
        <f t="shared" si="0"/>
        <v>9.5177664974622892E-4</v>
      </c>
      <c r="E25" s="52"/>
    </row>
    <row r="26" spans="1:5" ht="15.75" customHeight="1" x14ac:dyDescent="0.3">
      <c r="C26" s="94">
        <v>251.1</v>
      </c>
      <c r="D26" s="87">
        <f t="shared" si="0"/>
        <v>-4.2036802030456944E-3</v>
      </c>
      <c r="E26" s="52"/>
    </row>
    <row r="27" spans="1:5" ht="15.75" customHeight="1" x14ac:dyDescent="0.3">
      <c r="C27" s="94">
        <v>255.3</v>
      </c>
      <c r="D27" s="87">
        <f t="shared" si="0"/>
        <v>1.2452411167512748E-2</v>
      </c>
      <c r="E27" s="52"/>
    </row>
    <row r="28" spans="1:5" ht="15.75" customHeight="1" x14ac:dyDescent="0.3">
      <c r="C28" s="94">
        <v>256.60000000000002</v>
      </c>
      <c r="D28" s="87">
        <f t="shared" si="0"/>
        <v>1.7607868020304673E-2</v>
      </c>
      <c r="E28" s="52"/>
    </row>
    <row r="29" spans="1:5" ht="15.75" customHeight="1" x14ac:dyDescent="0.3">
      <c r="C29" s="94">
        <v>253.4</v>
      </c>
      <c r="D29" s="87">
        <f t="shared" si="0"/>
        <v>4.9175126903553664E-3</v>
      </c>
      <c r="E29" s="52"/>
    </row>
    <row r="30" spans="1:5" ht="15.75" customHeight="1" x14ac:dyDescent="0.3">
      <c r="C30" s="94">
        <v>250.1</v>
      </c>
      <c r="D30" s="87">
        <f t="shared" si="0"/>
        <v>-8.1694162436548312E-3</v>
      </c>
      <c r="E30" s="52"/>
    </row>
    <row r="31" spans="1:5" ht="15.75" customHeight="1" x14ac:dyDescent="0.3">
      <c r="C31" s="94">
        <v>247.7</v>
      </c>
      <c r="D31" s="87">
        <f t="shared" si="0"/>
        <v>-1.7687182741116782E-2</v>
      </c>
      <c r="E31" s="52"/>
    </row>
    <row r="32" spans="1:5" ht="15.75" customHeight="1" x14ac:dyDescent="0.3">
      <c r="C32" s="94">
        <v>253.6</v>
      </c>
      <c r="D32" s="87">
        <f t="shared" si="0"/>
        <v>5.7106598984771485E-3</v>
      </c>
      <c r="E32" s="52"/>
    </row>
    <row r="33" spans="1:7" ht="15.75" customHeight="1" x14ac:dyDescent="0.3">
      <c r="C33" s="94">
        <v>254.3</v>
      </c>
      <c r="D33" s="87">
        <f t="shared" si="0"/>
        <v>8.4866751269036117E-3</v>
      </c>
      <c r="E33" s="52"/>
    </row>
    <row r="34" spans="1:7" ht="15.75" customHeight="1" x14ac:dyDescent="0.3">
      <c r="C34" s="94">
        <v>256.5</v>
      </c>
      <c r="D34" s="87">
        <f t="shared" si="0"/>
        <v>1.721129441624367E-2</v>
      </c>
      <c r="E34" s="52"/>
    </row>
    <row r="35" spans="1:7" ht="15.75" customHeight="1" x14ac:dyDescent="0.3">
      <c r="C35" s="94">
        <v>252.4</v>
      </c>
      <c r="D35" s="87">
        <f t="shared" si="0"/>
        <v>9.5177664974622892E-4</v>
      </c>
      <c r="E35" s="52"/>
    </row>
    <row r="36" spans="1:7" ht="15.75" customHeight="1" x14ac:dyDescent="0.3">
      <c r="C36" s="94">
        <v>245.2</v>
      </c>
      <c r="D36" s="87">
        <f t="shared" si="0"/>
        <v>-2.7601522842639625E-2</v>
      </c>
      <c r="E36" s="52"/>
    </row>
    <row r="37" spans="1:7" ht="15.75" customHeight="1" x14ac:dyDescent="0.3">
      <c r="C37" s="94">
        <v>251.8</v>
      </c>
      <c r="D37" s="87">
        <f t="shared" si="0"/>
        <v>-1.4276649746192307E-3</v>
      </c>
      <c r="E37" s="52"/>
    </row>
    <row r="38" spans="1:7" ht="15.75" customHeight="1" x14ac:dyDescent="0.3">
      <c r="C38" s="94">
        <v>248.1</v>
      </c>
      <c r="D38" s="87">
        <f t="shared" si="0"/>
        <v>-1.6100888324873105E-2</v>
      </c>
      <c r="E38" s="52"/>
    </row>
    <row r="39" spans="1:7" ht="15.75" customHeight="1" x14ac:dyDescent="0.3">
      <c r="C39" s="94">
        <v>249.5</v>
      </c>
      <c r="D39" s="87">
        <f t="shared" si="0"/>
        <v>-1.0548857868020291E-2</v>
      </c>
      <c r="E39" s="52"/>
    </row>
    <row r="40" spans="1:7" ht="15.75" customHeight="1" x14ac:dyDescent="0.3">
      <c r="C40" s="94">
        <v>251.3</v>
      </c>
      <c r="D40" s="87">
        <f t="shared" si="0"/>
        <v>-3.4105329949237991E-3</v>
      </c>
      <c r="E40" s="52"/>
    </row>
    <row r="41" spans="1:7" ht="15.75" customHeight="1" x14ac:dyDescent="0.3">
      <c r="C41" s="94">
        <v>254.8</v>
      </c>
      <c r="D41" s="87">
        <f t="shared" si="0"/>
        <v>1.0469543147208181E-2</v>
      </c>
      <c r="E41" s="52"/>
    </row>
    <row r="42" spans="1:7" ht="15.75" customHeight="1" x14ac:dyDescent="0.3">
      <c r="C42" s="94">
        <v>256</v>
      </c>
      <c r="D42" s="87">
        <f t="shared" si="0"/>
        <v>1.5228426395939101E-2</v>
      </c>
      <c r="E42" s="52"/>
    </row>
    <row r="43" spans="1:7" ht="16.5" customHeight="1" x14ac:dyDescent="0.3">
      <c r="C43" s="95">
        <v>251.9</v>
      </c>
      <c r="D43" s="88">
        <f t="shared" si="0"/>
        <v>-1.0310913705583395E-3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5043.2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252.16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5">
        <f>C46</f>
        <v>252.16</v>
      </c>
      <c r="C49" s="92">
        <f>-IF(C46&lt;=80,10%,IF(C46&lt;250,7.5%,5%))</f>
        <v>-0.05</v>
      </c>
      <c r="D49" s="80">
        <f>IF(C46&lt;=80,C46*0.9,IF(C46&lt;250,C46*0.925,C46*0.95))</f>
        <v>239.55199999999999</v>
      </c>
    </row>
    <row r="50" spans="1:6" ht="17.25" customHeight="1" x14ac:dyDescent="0.3">
      <c r="B50" s="476"/>
      <c r="C50" s="93">
        <f>IF(C46&lt;=80, 10%, IF(C46&lt;250, 7.5%, 5%))</f>
        <v>0.05</v>
      </c>
      <c r="D50" s="80">
        <f>IF(C46&lt;=80, C46*1.1, IF(C46&lt;250, C46*1.075, C46*1.05))</f>
        <v>264.76800000000003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97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99" t="s">
        <v>33</v>
      </c>
      <c r="B18" s="485" t="s">
        <v>5</v>
      </c>
      <c r="C18" s="485"/>
      <c r="D18" s="245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490" t="s">
        <v>131</v>
      </c>
      <c r="C20" s="490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490" t="s">
        <v>11</v>
      </c>
      <c r="C21" s="490"/>
      <c r="D21" s="490"/>
      <c r="E21" s="490"/>
      <c r="F21" s="490"/>
      <c r="G21" s="490"/>
      <c r="H21" s="490"/>
      <c r="I21" s="103"/>
    </row>
    <row r="22" spans="1:14" ht="26.25" customHeight="1" x14ac:dyDescent="0.4">
      <c r="A22" s="99" t="s">
        <v>37</v>
      </c>
      <c r="B22" s="104">
        <v>42964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42968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485" t="s">
        <v>131</v>
      </c>
      <c r="C26" s="485"/>
    </row>
    <row r="27" spans="1:14" ht="26.25" customHeight="1" x14ac:dyDescent="0.4">
      <c r="A27" s="108" t="s">
        <v>48</v>
      </c>
      <c r="B27" s="491" t="s">
        <v>132</v>
      </c>
      <c r="C27" s="491"/>
    </row>
    <row r="28" spans="1:14" ht="27" customHeight="1" x14ac:dyDescent="0.4">
      <c r="A28" s="108" t="s">
        <v>6</v>
      </c>
      <c r="B28" s="109">
        <v>99.3</v>
      </c>
    </row>
    <row r="29" spans="1:14" s="14" customFormat="1" ht="27" customHeight="1" x14ac:dyDescent="0.4">
      <c r="A29" s="108" t="s">
        <v>49</v>
      </c>
      <c r="B29" s="110">
        <v>0</v>
      </c>
      <c r="C29" s="492" t="s">
        <v>50</v>
      </c>
      <c r="D29" s="493"/>
      <c r="E29" s="493"/>
      <c r="F29" s="493"/>
      <c r="G29" s="494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95" t="s">
        <v>53</v>
      </c>
      <c r="D31" s="496"/>
      <c r="E31" s="496"/>
      <c r="F31" s="496"/>
      <c r="G31" s="496"/>
      <c r="H31" s="497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95" t="s">
        <v>55</v>
      </c>
      <c r="D32" s="496"/>
      <c r="E32" s="496"/>
      <c r="F32" s="496"/>
      <c r="G32" s="496"/>
      <c r="H32" s="497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20</v>
      </c>
      <c r="C36" s="98"/>
      <c r="D36" s="498" t="s">
        <v>59</v>
      </c>
      <c r="E36" s="499"/>
      <c r="F36" s="498" t="s">
        <v>60</v>
      </c>
      <c r="G36" s="500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4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20</v>
      </c>
      <c r="C38" s="130">
        <v>1</v>
      </c>
      <c r="D38" s="131">
        <v>35347762</v>
      </c>
      <c r="E38" s="132">
        <f>IF(ISBLANK(D38),"-",$D$48/$D$45*D38)</f>
        <v>37815446.796128139</v>
      </c>
      <c r="F38" s="131">
        <v>39635994</v>
      </c>
      <c r="G38" s="133">
        <f>IF(ISBLANK(F38),"-",$D$48/$F$45*F38)</f>
        <v>38777916.268803902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35390697</v>
      </c>
      <c r="E39" s="137">
        <f>IF(ISBLANK(D39),"-",$D$48/$D$45*D39)</f>
        <v>37861379.158357799</v>
      </c>
      <c r="F39" s="136">
        <v>39651164</v>
      </c>
      <c r="G39" s="138">
        <f>IF(ISBLANK(F39),"-",$D$48/$F$45*F39)</f>
        <v>38792757.854202211</v>
      </c>
      <c r="I39" s="502">
        <f>ABS((F43/D43*D42)-F42)/D42</f>
        <v>2.8223653494261911E-2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35342713</v>
      </c>
      <c r="E40" s="137">
        <f>IF(ISBLANK(D40),"-",$D$48/$D$45*D40)</f>
        <v>37810045.317220546</v>
      </c>
      <c r="F40" s="136">
        <v>39704949</v>
      </c>
      <c r="G40" s="138">
        <f>IF(ISBLANK(F40),"-",$D$48/$F$45*F40)</f>
        <v>38845378.46531941</v>
      </c>
      <c r="I40" s="502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35360390.666666664</v>
      </c>
      <c r="E42" s="147">
        <f>AVERAGE(E38:E41)</f>
        <v>37828957.090568833</v>
      </c>
      <c r="F42" s="146">
        <f>AVERAGE(F38:F41)</f>
        <v>39664035.666666664</v>
      </c>
      <c r="G42" s="148">
        <f>AVERAGE(G38:G41)</f>
        <v>38805350.862775169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14.12</v>
      </c>
      <c r="E43" s="139"/>
      <c r="F43" s="151">
        <v>15.44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14.12</v>
      </c>
      <c r="E44" s="154"/>
      <c r="F44" s="153">
        <f>F43*$B$34</f>
        <v>15.44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14.02116</v>
      </c>
      <c r="E45" s="157"/>
      <c r="F45" s="156">
        <f>F44*$B$30/100</f>
        <v>15.33192</v>
      </c>
      <c r="H45" s="149"/>
    </row>
    <row r="46" spans="1:14" ht="19.5" customHeight="1" x14ac:dyDescent="0.3">
      <c r="A46" s="503" t="s">
        <v>78</v>
      </c>
      <c r="B46" s="504"/>
      <c r="C46" s="152" t="s">
        <v>79</v>
      </c>
      <c r="D46" s="158">
        <f>D45/$B$45</f>
        <v>0.14021159999999999</v>
      </c>
      <c r="E46" s="159"/>
      <c r="F46" s="160">
        <f>F45/$B$45</f>
        <v>0.15331919999999999</v>
      </c>
      <c r="H46" s="149"/>
    </row>
    <row r="47" spans="1:14" ht="27" customHeight="1" x14ac:dyDescent="0.4">
      <c r="A47" s="505"/>
      <c r="B47" s="506"/>
      <c r="C47" s="161" t="s">
        <v>80</v>
      </c>
      <c r="D47" s="162">
        <v>0.15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15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38317153.976672001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1.3977027057032699E-2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dispersible tablet contains: Lamivudine USP 30 mg and Zidovudine USP 60 mg.</v>
      </c>
    </row>
    <row r="56" spans="1:12" ht="26.25" customHeight="1" x14ac:dyDescent="0.4">
      <c r="A56" s="176" t="s">
        <v>87</v>
      </c>
      <c r="B56" s="177">
        <v>30</v>
      </c>
      <c r="C56" s="98" t="str">
        <f>B20</f>
        <v xml:space="preserve">LAMIVUDINE </v>
      </c>
      <c r="H56" s="178"/>
    </row>
    <row r="57" spans="1:12" ht="18.75" x14ac:dyDescent="0.3">
      <c r="A57" s="175" t="s">
        <v>88</v>
      </c>
      <c r="B57" s="246">
        <f>Uniformity!C46</f>
        <v>252.16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507" t="s">
        <v>94</v>
      </c>
      <c r="D60" s="510">
        <v>252.39</v>
      </c>
      <c r="E60" s="181">
        <v>1</v>
      </c>
      <c r="F60" s="182">
        <v>36639114</v>
      </c>
      <c r="G60" s="247">
        <f>IF(ISBLANK(F60),"-",(F60/$D$50*$D$47*$B$68)*($B$57/$D$60))</f>
        <v>28.660055416083335</v>
      </c>
      <c r="H60" s="265">
        <f t="shared" ref="H60:H71" si="0">IF(ISBLANK(F60),"-",(G60/$B$56)*100)</f>
        <v>95.533518053611104</v>
      </c>
      <c r="L60" s="111"/>
    </row>
    <row r="61" spans="1:12" s="14" customFormat="1" ht="26.25" customHeight="1" x14ac:dyDescent="0.4">
      <c r="A61" s="123" t="s">
        <v>95</v>
      </c>
      <c r="B61" s="124">
        <v>10</v>
      </c>
      <c r="C61" s="508"/>
      <c r="D61" s="511"/>
      <c r="E61" s="183">
        <v>2</v>
      </c>
      <c r="F61" s="136">
        <v>36505165</v>
      </c>
      <c r="G61" s="248">
        <f>IF(ISBLANK(F61),"-",(F61/$D$50*$D$47*$B$68)*($B$57/$D$60))</f>
        <v>28.555277070107802</v>
      </c>
      <c r="H61" s="266">
        <f t="shared" si="0"/>
        <v>95.184256900359344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508"/>
      <c r="D62" s="511"/>
      <c r="E62" s="183">
        <v>3</v>
      </c>
      <c r="F62" s="184">
        <v>36595144</v>
      </c>
      <c r="G62" s="248">
        <f>IF(ISBLANK(F62),"-",(F62/$D$50*$D$47*$B$68)*($B$57/$D$60))</f>
        <v>28.625660953470369</v>
      </c>
      <c r="H62" s="266">
        <f t="shared" si="0"/>
        <v>95.418869844901238</v>
      </c>
      <c r="L62" s="111"/>
    </row>
    <row r="63" spans="1:12" ht="27" customHeight="1" x14ac:dyDescent="0.4">
      <c r="A63" s="123" t="s">
        <v>97</v>
      </c>
      <c r="B63" s="124">
        <v>1</v>
      </c>
      <c r="C63" s="509"/>
      <c r="D63" s="512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507" t="s">
        <v>99</v>
      </c>
      <c r="D64" s="510">
        <v>259.77</v>
      </c>
      <c r="E64" s="181">
        <v>1</v>
      </c>
      <c r="F64" s="182">
        <v>37639675</v>
      </c>
      <c r="G64" s="247">
        <f>IF(ISBLANK(F64),"-",(F64/$D$50*$D$47*$B$68)*($B$57/$D$64))</f>
        <v>28.606259686301058</v>
      </c>
      <c r="H64" s="265">
        <f t="shared" si="0"/>
        <v>95.354198954336866</v>
      </c>
    </row>
    <row r="65" spans="1:8" ht="26.25" customHeight="1" x14ac:dyDescent="0.4">
      <c r="A65" s="123" t="s">
        <v>100</v>
      </c>
      <c r="B65" s="124">
        <v>1</v>
      </c>
      <c r="C65" s="508"/>
      <c r="D65" s="511"/>
      <c r="E65" s="183">
        <v>2</v>
      </c>
      <c r="F65" s="136">
        <v>37426137</v>
      </c>
      <c r="G65" s="248">
        <f>IF(ISBLANK(F65),"-",(F65/$D$50*$D$47*$B$68)*($B$57/$D$64))</f>
        <v>28.443970201046646</v>
      </c>
      <c r="H65" s="266">
        <f t="shared" si="0"/>
        <v>94.813234003488816</v>
      </c>
    </row>
    <row r="66" spans="1:8" ht="26.25" customHeight="1" x14ac:dyDescent="0.4">
      <c r="A66" s="123" t="s">
        <v>101</v>
      </c>
      <c r="B66" s="124">
        <v>1</v>
      </c>
      <c r="C66" s="508"/>
      <c r="D66" s="511"/>
      <c r="E66" s="183">
        <v>3</v>
      </c>
      <c r="F66" s="136">
        <v>37672412</v>
      </c>
      <c r="G66" s="248">
        <f>IF(ISBLANK(F66),"-",(F66/$D$50*$D$47*$B$68)*($B$57/$D$64))</f>
        <v>28.631139899091167</v>
      </c>
      <c r="H66" s="266">
        <f t="shared" si="0"/>
        <v>95.437132996970547</v>
      </c>
    </row>
    <row r="67" spans="1:8" ht="27" customHeight="1" x14ac:dyDescent="0.4">
      <c r="A67" s="123" t="s">
        <v>102</v>
      </c>
      <c r="B67" s="124">
        <v>1</v>
      </c>
      <c r="C67" s="509"/>
      <c r="D67" s="512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200</v>
      </c>
      <c r="C68" s="507" t="s">
        <v>104</v>
      </c>
      <c r="D68" s="510">
        <v>253.55</v>
      </c>
      <c r="E68" s="181">
        <v>1</v>
      </c>
      <c r="F68" s="182">
        <v>36324935</v>
      </c>
      <c r="G68" s="247">
        <f>IF(ISBLANK(F68),"-",(F68/$D$50*$D$47*$B$68)*($B$57/$D$68))</f>
        <v>28.284300150763471</v>
      </c>
      <c r="H68" s="266">
        <f t="shared" si="0"/>
        <v>94.281000502544899</v>
      </c>
    </row>
    <row r="69" spans="1:8" ht="27" customHeight="1" x14ac:dyDescent="0.4">
      <c r="A69" s="171" t="s">
        <v>105</v>
      </c>
      <c r="B69" s="188">
        <f>(D47*B68)/B56*B57</f>
        <v>252.16</v>
      </c>
      <c r="C69" s="508"/>
      <c r="D69" s="511"/>
      <c r="E69" s="183">
        <v>2</v>
      </c>
      <c r="F69" s="136">
        <v>36455779</v>
      </c>
      <c r="G69" s="248">
        <f>IF(ISBLANK(F69),"-",(F69/$D$50*$D$47*$B$68)*($B$57/$D$68))</f>
        <v>28.386181433384529</v>
      </c>
      <c r="H69" s="266">
        <f t="shared" si="0"/>
        <v>94.620604777948429</v>
      </c>
    </row>
    <row r="70" spans="1:8" ht="26.25" customHeight="1" x14ac:dyDescent="0.4">
      <c r="A70" s="520" t="s">
        <v>78</v>
      </c>
      <c r="B70" s="521"/>
      <c r="C70" s="508"/>
      <c r="D70" s="511"/>
      <c r="E70" s="183">
        <v>3</v>
      </c>
      <c r="F70" s="136">
        <v>36385723</v>
      </c>
      <c r="G70" s="248">
        <f>IF(ISBLANK(F70),"-",(F70/$D$50*$D$47*$B$68)*($B$57/$D$68))</f>
        <v>28.331632542068913</v>
      </c>
      <c r="H70" s="266">
        <f t="shared" si="0"/>
        <v>94.438775140229708</v>
      </c>
    </row>
    <row r="71" spans="1:8" ht="27" customHeight="1" x14ac:dyDescent="0.4">
      <c r="A71" s="522"/>
      <c r="B71" s="523"/>
      <c r="C71" s="519"/>
      <c r="D71" s="512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28.502719705813028</v>
      </c>
      <c r="H72" s="268">
        <f>AVERAGE(H60:H71)</f>
        <v>95.009065686043442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5.0210843683733434E-3</v>
      </c>
      <c r="H73" s="252">
        <f>STDEV(H60:H71)/H72</f>
        <v>5.0210843683733434E-3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106</v>
      </c>
      <c r="B76" s="196" t="s">
        <v>107</v>
      </c>
      <c r="C76" s="515" t="str">
        <f>B26</f>
        <v xml:space="preserve">LAMIVUDINE </v>
      </c>
      <c r="D76" s="515"/>
      <c r="E76" s="197" t="s">
        <v>108</v>
      </c>
      <c r="F76" s="197"/>
      <c r="G76" s="284">
        <f>H72</f>
        <v>95.009065686043442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01" t="str">
        <f>B26</f>
        <v xml:space="preserve">LAMIVUDINE </v>
      </c>
      <c r="C79" s="501"/>
    </row>
    <row r="80" spans="1:8" ht="26.25" customHeight="1" x14ac:dyDescent="0.4">
      <c r="A80" s="108" t="s">
        <v>48</v>
      </c>
      <c r="B80" s="501" t="str">
        <f>B27</f>
        <v>L3-10</v>
      </c>
      <c r="C80" s="501"/>
    </row>
    <row r="81" spans="1:12" ht="27" customHeight="1" x14ac:dyDescent="0.4">
      <c r="A81" s="108" t="s">
        <v>6</v>
      </c>
      <c r="B81" s="200">
        <f>B28</f>
        <v>99.3</v>
      </c>
    </row>
    <row r="82" spans="1:12" s="14" customFormat="1" ht="27" customHeight="1" x14ac:dyDescent="0.4">
      <c r="A82" s="108" t="s">
        <v>49</v>
      </c>
      <c r="B82" s="110">
        <v>0</v>
      </c>
      <c r="C82" s="492" t="s">
        <v>50</v>
      </c>
      <c r="D82" s="493"/>
      <c r="E82" s="493"/>
      <c r="F82" s="493"/>
      <c r="G82" s="494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95" t="s">
        <v>111</v>
      </c>
      <c r="D84" s="496"/>
      <c r="E84" s="496"/>
      <c r="F84" s="496"/>
      <c r="G84" s="496"/>
      <c r="H84" s="497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95" t="s">
        <v>112</v>
      </c>
      <c r="D85" s="496"/>
      <c r="E85" s="496"/>
      <c r="F85" s="496"/>
      <c r="G85" s="496"/>
      <c r="H85" s="497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1</v>
      </c>
      <c r="D89" s="201" t="s">
        <v>59</v>
      </c>
      <c r="E89" s="202"/>
      <c r="F89" s="498" t="s">
        <v>60</v>
      </c>
      <c r="G89" s="500"/>
    </row>
    <row r="90" spans="1:12" ht="27" customHeight="1" x14ac:dyDescent="0.4">
      <c r="A90" s="123" t="s">
        <v>61</v>
      </c>
      <c r="B90" s="124">
        <v>1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</v>
      </c>
      <c r="C91" s="205">
        <v>1</v>
      </c>
      <c r="D91" s="131"/>
      <c r="E91" s="132" t="str">
        <f>IF(ISBLANK(D91),"-",$D$101/$D$98*D91)</f>
        <v>-</v>
      </c>
      <c r="F91" s="131"/>
      <c r="G91" s="133" t="str">
        <f>IF(ISBLANK(F91),"-",$D$101/$F$98*F91)</f>
        <v>-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/>
      <c r="E92" s="137" t="str">
        <f>IF(ISBLANK(D92),"-",$D$101/$D$98*D92)</f>
        <v>-</v>
      </c>
      <c r="F92" s="136"/>
      <c r="G92" s="138" t="str">
        <f>IF(ISBLANK(F92),"-",$D$101/$F$98*F92)</f>
        <v>-</v>
      </c>
      <c r="I92" s="502" t="e">
        <f>ABS((F96/D96*D95)-F95)/D95</f>
        <v>#DIV/0!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/>
      <c r="E93" s="137" t="str">
        <f>IF(ISBLANK(D93),"-",$D$101/$D$98*D93)</f>
        <v>-</v>
      </c>
      <c r="F93" s="136"/>
      <c r="G93" s="138" t="str">
        <f>IF(ISBLANK(F93),"-",$D$101/$F$98*F93)</f>
        <v>-</v>
      </c>
      <c r="I93" s="502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209" t="e">
        <f>AVERAGE(D91:D94)</f>
        <v>#DIV/0!</v>
      </c>
      <c r="E95" s="147" t="e">
        <f>AVERAGE(E91:E94)</f>
        <v>#DIV/0!</v>
      </c>
      <c r="F95" s="210" t="e">
        <f>AVERAGE(F91:F94)</f>
        <v>#DIV/0!</v>
      </c>
      <c r="G95" s="211" t="e">
        <f>AVERAGE(G91:G94)</f>
        <v>#DIV/0!</v>
      </c>
    </row>
    <row r="96" spans="1:12" ht="26.25" customHeight="1" x14ac:dyDescent="0.4">
      <c r="A96" s="123" t="s">
        <v>72</v>
      </c>
      <c r="B96" s="109">
        <v>1</v>
      </c>
      <c r="C96" s="212" t="s">
        <v>113</v>
      </c>
      <c r="D96" s="213">
        <v>25.12</v>
      </c>
      <c r="E96" s="139"/>
      <c r="F96" s="151">
        <v>25.78</v>
      </c>
    </row>
    <row r="97" spans="1:10" ht="26.25" customHeight="1" x14ac:dyDescent="0.4">
      <c r="A97" s="123" t="s">
        <v>74</v>
      </c>
      <c r="B97" s="109">
        <v>1</v>
      </c>
      <c r="C97" s="214" t="s">
        <v>114</v>
      </c>
      <c r="D97" s="215">
        <f>D96*$B$87</f>
        <v>25.12</v>
      </c>
      <c r="E97" s="154"/>
      <c r="F97" s="153">
        <f>F96*$B$87</f>
        <v>25.78</v>
      </c>
    </row>
    <row r="98" spans="1:10" ht="19.5" customHeight="1" x14ac:dyDescent="0.3">
      <c r="A98" s="123" t="s">
        <v>76</v>
      </c>
      <c r="B98" s="216">
        <f>(B97/B96)*(B95/B94)*(B93/B92)*(B91/B90)*B89</f>
        <v>1</v>
      </c>
      <c r="C98" s="214" t="s">
        <v>115</v>
      </c>
      <c r="D98" s="217">
        <f>D97*$B$83/100</f>
        <v>24.94416</v>
      </c>
      <c r="E98" s="157"/>
      <c r="F98" s="156">
        <f>F97*$B$83/100</f>
        <v>25.599540000000001</v>
      </c>
    </row>
    <row r="99" spans="1:10" ht="19.5" customHeight="1" x14ac:dyDescent="0.3">
      <c r="A99" s="503" t="s">
        <v>78</v>
      </c>
      <c r="B99" s="517"/>
      <c r="C99" s="214" t="s">
        <v>116</v>
      </c>
      <c r="D99" s="218">
        <f>D98/$B$98</f>
        <v>24.94416</v>
      </c>
      <c r="E99" s="157"/>
      <c r="F99" s="160">
        <f>F98/$B$98</f>
        <v>25.599540000000001</v>
      </c>
      <c r="G99" s="219"/>
      <c r="H99" s="149"/>
    </row>
    <row r="100" spans="1:10" ht="19.5" customHeight="1" x14ac:dyDescent="0.3">
      <c r="A100" s="505"/>
      <c r="B100" s="518"/>
      <c r="C100" s="214" t="s">
        <v>80</v>
      </c>
      <c r="D100" s="220">
        <f>$B$56/$B$116</f>
        <v>30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30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30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 t="e">
        <f>AVERAGE(E91:E94,G91:G94)</f>
        <v>#DIV/0!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 t="e">
        <f>STDEV(E91:E94,G91:G94)/D103</f>
        <v>#DIV/0!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0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1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3" t="s">
        <v>122</v>
      </c>
      <c r="B108" s="124">
        <v>1</v>
      </c>
      <c r="C108" s="274">
        <v>1</v>
      </c>
      <c r="D108" s="275"/>
      <c r="E108" s="249" t="str">
        <f t="shared" ref="E108:E113" si="1">IF(ISBLANK(D108),"-",D108/$D$103*$D$100*$B$116)</f>
        <v>-</v>
      </c>
      <c r="F108" s="276" t="str">
        <f t="shared" ref="F108:F113" si="2">IF(ISBLANK(D108), "-", (E108/$B$56)*100)</f>
        <v>-</v>
      </c>
    </row>
    <row r="109" spans="1:10" ht="26.25" customHeight="1" x14ac:dyDescent="0.4">
      <c r="A109" s="123" t="s">
        <v>95</v>
      </c>
      <c r="B109" s="124">
        <v>1</v>
      </c>
      <c r="C109" s="270">
        <v>2</v>
      </c>
      <c r="D109" s="272"/>
      <c r="E109" s="250" t="str">
        <f t="shared" si="1"/>
        <v>-</v>
      </c>
      <c r="F109" s="277" t="str">
        <f t="shared" si="2"/>
        <v>-</v>
      </c>
    </row>
    <row r="110" spans="1:10" ht="26.25" customHeight="1" x14ac:dyDescent="0.4">
      <c r="A110" s="123" t="s">
        <v>96</v>
      </c>
      <c r="B110" s="124">
        <v>1</v>
      </c>
      <c r="C110" s="270">
        <v>3</v>
      </c>
      <c r="D110" s="272"/>
      <c r="E110" s="250" t="str">
        <f t="shared" si="1"/>
        <v>-</v>
      </c>
      <c r="F110" s="277" t="str">
        <f t="shared" si="2"/>
        <v>-</v>
      </c>
    </row>
    <row r="111" spans="1:10" ht="26.25" customHeight="1" x14ac:dyDescent="0.4">
      <c r="A111" s="123" t="s">
        <v>97</v>
      </c>
      <c r="B111" s="124">
        <v>1</v>
      </c>
      <c r="C111" s="270">
        <v>4</v>
      </c>
      <c r="D111" s="272"/>
      <c r="E111" s="250" t="str">
        <f t="shared" si="1"/>
        <v>-</v>
      </c>
      <c r="F111" s="277" t="str">
        <f t="shared" si="2"/>
        <v>-</v>
      </c>
    </row>
    <row r="112" spans="1:10" ht="26.25" customHeight="1" x14ac:dyDescent="0.4">
      <c r="A112" s="123" t="s">
        <v>98</v>
      </c>
      <c r="B112" s="124">
        <v>1</v>
      </c>
      <c r="C112" s="270">
        <v>5</v>
      </c>
      <c r="D112" s="272"/>
      <c r="E112" s="250" t="str">
        <f t="shared" si="1"/>
        <v>-</v>
      </c>
      <c r="F112" s="277" t="str">
        <f t="shared" si="2"/>
        <v>-</v>
      </c>
    </row>
    <row r="113" spans="1:10" ht="27" customHeight="1" x14ac:dyDescent="0.4">
      <c r="A113" s="123" t="s">
        <v>100</v>
      </c>
      <c r="B113" s="124">
        <v>1</v>
      </c>
      <c r="C113" s="271">
        <v>6</v>
      </c>
      <c r="D113" s="273"/>
      <c r="E113" s="251" t="str">
        <f t="shared" si="1"/>
        <v>-</v>
      </c>
      <c r="F113" s="278" t="str">
        <f t="shared" si="2"/>
        <v>-</v>
      </c>
    </row>
    <row r="114" spans="1:10" ht="27" customHeight="1" x14ac:dyDescent="0.4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">
      <c r="A115" s="123" t="s">
        <v>102</v>
      </c>
      <c r="B115" s="124">
        <v>1</v>
      </c>
      <c r="C115" s="232"/>
      <c r="D115" s="256" t="s">
        <v>71</v>
      </c>
      <c r="E115" s="258" t="e">
        <f>AVERAGE(E108:E113)</f>
        <v>#DIV/0!</v>
      </c>
      <c r="F115" s="280" t="e">
        <f>AVERAGE(F108:F113)</f>
        <v>#DIV/0!</v>
      </c>
    </row>
    <row r="116" spans="1:10" ht="27" customHeight="1" x14ac:dyDescent="0.4">
      <c r="A116" s="123" t="s">
        <v>103</v>
      </c>
      <c r="B116" s="155">
        <f>(B115/B114)*(B113/B112)*(B111/B110)*(B109/B108)*B107</f>
        <v>1</v>
      </c>
      <c r="C116" s="233"/>
      <c r="D116" s="257" t="s">
        <v>84</v>
      </c>
      <c r="E116" s="255" t="e">
        <f>STDEV(E108:E113)/E115</f>
        <v>#DIV/0!</v>
      </c>
      <c r="F116" s="234" t="e">
        <f>STDEV(F108:F113)/F115</f>
        <v>#DIV/0!</v>
      </c>
      <c r="I116" s="97"/>
    </row>
    <row r="117" spans="1:10" ht="27" customHeight="1" x14ac:dyDescent="0.4">
      <c r="A117" s="503" t="s">
        <v>78</v>
      </c>
      <c r="B117" s="504"/>
      <c r="C117" s="235"/>
      <c r="D117" s="194" t="s">
        <v>20</v>
      </c>
      <c r="E117" s="260">
        <f>COUNT(E108:E113)</f>
        <v>0</v>
      </c>
      <c r="F117" s="261">
        <f>COUNT(F108:F113)</f>
        <v>0</v>
      </c>
      <c r="I117" s="97"/>
      <c r="J117" s="228"/>
    </row>
    <row r="118" spans="1:10" ht="26.25" customHeight="1" x14ac:dyDescent="0.3">
      <c r="A118" s="505"/>
      <c r="B118" s="506"/>
      <c r="C118" s="97"/>
      <c r="D118" s="259"/>
      <c r="E118" s="483" t="s">
        <v>123</v>
      </c>
      <c r="F118" s="484"/>
      <c r="G118" s="97"/>
      <c r="H118" s="97"/>
      <c r="I118" s="97"/>
    </row>
    <row r="119" spans="1:10" ht="25.5" customHeight="1" x14ac:dyDescent="0.4">
      <c r="A119" s="244"/>
      <c r="B119" s="119"/>
      <c r="C119" s="97"/>
      <c r="D119" s="257" t="s">
        <v>124</v>
      </c>
      <c r="E119" s="262">
        <f>MIN(E108:E113)</f>
        <v>0</v>
      </c>
      <c r="F119" s="281">
        <f>MIN(F108:F113)</f>
        <v>0</v>
      </c>
      <c r="G119" s="97"/>
      <c r="H119" s="97"/>
      <c r="I119" s="97"/>
    </row>
    <row r="120" spans="1:10" ht="24" customHeight="1" x14ac:dyDescent="0.4">
      <c r="A120" s="244"/>
      <c r="B120" s="119"/>
      <c r="C120" s="97"/>
      <c r="D120" s="166" t="s">
        <v>125</v>
      </c>
      <c r="E120" s="263">
        <f>MAX(E108:E113)</f>
        <v>0</v>
      </c>
      <c r="F120" s="282">
        <f>MAX(F108:F113)</f>
        <v>0</v>
      </c>
      <c r="G120" s="97"/>
      <c r="H120" s="97"/>
      <c r="I120" s="97"/>
    </row>
    <row r="121" spans="1:10" ht="27" customHeight="1" x14ac:dyDescent="0.3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515" t="str">
        <f>B26</f>
        <v xml:space="preserve">LAMIVUDINE </v>
      </c>
      <c r="D124" s="515"/>
      <c r="E124" s="197" t="s">
        <v>127</v>
      </c>
      <c r="F124" s="197"/>
      <c r="G124" s="283" t="e">
        <f>F115</f>
        <v>#DIV/0!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3">
        <f>MIN(F108:F113)</f>
        <v>0</v>
      </c>
      <c r="E125" s="208" t="s">
        <v>130</v>
      </c>
      <c r="F125" s="283">
        <f>MAX(F108:F113)</f>
        <v>0</v>
      </c>
      <c r="G125" s="198"/>
      <c r="H125" s="97"/>
      <c r="I125" s="97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516" t="s">
        <v>26</v>
      </c>
      <c r="C127" s="516"/>
      <c r="E127" s="203" t="s">
        <v>27</v>
      </c>
      <c r="F127" s="238"/>
      <c r="G127" s="516" t="s">
        <v>28</v>
      </c>
      <c r="H127" s="516"/>
    </row>
    <row r="128" spans="1:10" ht="69.95" customHeight="1" x14ac:dyDescent="0.3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285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287" t="s">
        <v>33</v>
      </c>
      <c r="B18" s="485" t="s">
        <v>5</v>
      </c>
      <c r="C18" s="485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490" t="s">
        <v>133</v>
      </c>
      <c r="C20" s="490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490" t="s">
        <v>11</v>
      </c>
      <c r="C21" s="490"/>
      <c r="D21" s="490"/>
      <c r="E21" s="490"/>
      <c r="F21" s="490"/>
      <c r="G21" s="490"/>
      <c r="H21" s="490"/>
      <c r="I21" s="291"/>
    </row>
    <row r="22" spans="1:14" ht="26.25" customHeight="1" x14ac:dyDescent="0.4">
      <c r="A22" s="287" t="s">
        <v>37</v>
      </c>
      <c r="B22" s="292">
        <v>42964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>
        <v>42968</v>
      </c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485" t="s">
        <v>133</v>
      </c>
      <c r="C26" s="485"/>
    </row>
    <row r="27" spans="1:14" ht="26.25" customHeight="1" x14ac:dyDescent="0.4">
      <c r="A27" s="296" t="s">
        <v>48</v>
      </c>
      <c r="B27" s="491" t="s">
        <v>134</v>
      </c>
      <c r="C27" s="491"/>
    </row>
    <row r="28" spans="1:14" ht="27" customHeight="1" x14ac:dyDescent="0.4">
      <c r="A28" s="296" t="s">
        <v>6</v>
      </c>
      <c r="B28" s="297">
        <v>99.65</v>
      </c>
    </row>
    <row r="29" spans="1:14" s="14" customFormat="1" ht="27" customHeight="1" x14ac:dyDescent="0.4">
      <c r="A29" s="296" t="s">
        <v>49</v>
      </c>
      <c r="B29" s="298">
        <v>0</v>
      </c>
      <c r="C29" s="492" t="s">
        <v>50</v>
      </c>
      <c r="D29" s="493"/>
      <c r="E29" s="493"/>
      <c r="F29" s="493"/>
      <c r="G29" s="494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99.65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5" t="s">
        <v>53</v>
      </c>
      <c r="D31" s="496"/>
      <c r="E31" s="496"/>
      <c r="F31" s="496"/>
      <c r="G31" s="496"/>
      <c r="H31" s="497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5" t="s">
        <v>55</v>
      </c>
      <c r="D32" s="496"/>
      <c r="E32" s="496"/>
      <c r="F32" s="496"/>
      <c r="G32" s="496"/>
      <c r="H32" s="497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20</v>
      </c>
      <c r="C36" s="286"/>
      <c r="D36" s="498" t="s">
        <v>59</v>
      </c>
      <c r="E36" s="499"/>
      <c r="F36" s="498" t="s">
        <v>60</v>
      </c>
      <c r="G36" s="500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4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20</v>
      </c>
      <c r="C38" s="318">
        <v>1</v>
      </c>
      <c r="D38" s="319">
        <v>62955457</v>
      </c>
      <c r="E38" s="320">
        <f>IF(ISBLANK(D38),"-",$D$48/$D$45*D38)</f>
        <v>66971634.288915798</v>
      </c>
      <c r="F38" s="319">
        <v>69710355</v>
      </c>
      <c r="G38" s="321">
        <f>IF(ISBLANK(F38),"-",$D$48/$F$45*F38)</f>
        <v>68049803.690348119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63023903</v>
      </c>
      <c r="E39" s="325">
        <f>IF(ISBLANK(D39),"-",$D$48/$D$45*D39)</f>
        <v>67044446.729631446</v>
      </c>
      <c r="F39" s="324">
        <v>69721299</v>
      </c>
      <c r="G39" s="326">
        <f>IF(ISBLANK(F39),"-",$D$48/$F$45*F39)</f>
        <v>68060486.996315897</v>
      </c>
      <c r="I39" s="502">
        <f>ABS((F43/D43*D42)-F42)/D42</f>
        <v>1.7991799799368532E-2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62927122</v>
      </c>
      <c r="E40" s="325">
        <f>IF(ISBLANK(D40),"-",$D$48/$D$45*D40)</f>
        <v>66941491.687336773</v>
      </c>
      <c r="F40" s="324">
        <v>69828453</v>
      </c>
      <c r="G40" s="326">
        <f>IF(ISBLANK(F40),"-",$D$48/$F$45*F40)</f>
        <v>68165088.510174707</v>
      </c>
      <c r="I40" s="502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62968827.333333336</v>
      </c>
      <c r="E42" s="335">
        <f>AVERAGE(E38:E41)</f>
        <v>66985857.568628006</v>
      </c>
      <c r="F42" s="334">
        <f>AVERAGE(F38:F41)</f>
        <v>69753369</v>
      </c>
      <c r="G42" s="336">
        <f>AVERAGE(G38:G41)</f>
        <v>68091793.065612912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28.3</v>
      </c>
      <c r="E43" s="327"/>
      <c r="F43" s="339">
        <v>30.84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28.3</v>
      </c>
      <c r="E44" s="342"/>
      <c r="F44" s="341">
        <f>F43*$B$34</f>
        <v>30.84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100</v>
      </c>
      <c r="C45" s="340" t="s">
        <v>77</v>
      </c>
      <c r="D45" s="344">
        <f>D44*$B$30/100</f>
        <v>28.200950000000002</v>
      </c>
      <c r="E45" s="345"/>
      <c r="F45" s="344">
        <f>F44*$B$30/100</f>
        <v>30.732060000000001</v>
      </c>
      <c r="H45" s="337"/>
    </row>
    <row r="46" spans="1:14" ht="19.5" customHeight="1" x14ac:dyDescent="0.3">
      <c r="A46" s="503" t="s">
        <v>78</v>
      </c>
      <c r="B46" s="504"/>
      <c r="C46" s="340" t="s">
        <v>79</v>
      </c>
      <c r="D46" s="346">
        <f>D45/$B$45</f>
        <v>0.28200950000000002</v>
      </c>
      <c r="E46" s="347"/>
      <c r="F46" s="348">
        <f>F45/$B$45</f>
        <v>0.3073206</v>
      </c>
      <c r="H46" s="337"/>
    </row>
    <row r="47" spans="1:14" ht="27" customHeight="1" x14ac:dyDescent="0.4">
      <c r="A47" s="505"/>
      <c r="B47" s="506"/>
      <c r="C47" s="349" t="s">
        <v>80</v>
      </c>
      <c r="D47" s="350">
        <v>0.3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30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30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67538825.317120448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9.0023236789902594E-3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dispersible tablet contains: Lamivudine USP 30 mg and Zidovudine USP 60 mg.</v>
      </c>
    </row>
    <row r="56" spans="1:12" ht="26.25" customHeight="1" x14ac:dyDescent="0.4">
      <c r="A56" s="364" t="s">
        <v>87</v>
      </c>
      <c r="B56" s="365">
        <v>60</v>
      </c>
      <c r="C56" s="286" t="str">
        <f>B20</f>
        <v xml:space="preserve">ZIDOVUDINE </v>
      </c>
      <c r="H56" s="366"/>
    </row>
    <row r="57" spans="1:12" ht="18.75" x14ac:dyDescent="0.3">
      <c r="A57" s="363" t="s">
        <v>88</v>
      </c>
      <c r="B57" s="434">
        <f>Uniformity!C46</f>
        <v>252.16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5</v>
      </c>
      <c r="C60" s="507" t="s">
        <v>94</v>
      </c>
      <c r="D60" s="510">
        <v>252.39</v>
      </c>
      <c r="E60" s="369">
        <v>1</v>
      </c>
      <c r="F60" s="370">
        <v>66736723</v>
      </c>
      <c r="G60" s="435">
        <f>IF(ISBLANK(F60),"-",(F60/$D$50*$D$47*$B$68)*($B$57/$D$60))</f>
        <v>59.23340209697411</v>
      </c>
      <c r="H60" s="453">
        <f t="shared" ref="H60:H71" si="0">IF(ISBLANK(F60),"-",(G60/$B$56)*100)</f>
        <v>98.722336828290182</v>
      </c>
      <c r="L60" s="299"/>
    </row>
    <row r="61" spans="1:12" s="14" customFormat="1" ht="26.25" customHeight="1" x14ac:dyDescent="0.4">
      <c r="A61" s="311" t="s">
        <v>95</v>
      </c>
      <c r="B61" s="312">
        <v>10</v>
      </c>
      <c r="C61" s="508"/>
      <c r="D61" s="511"/>
      <c r="E61" s="371">
        <v>2</v>
      </c>
      <c r="F61" s="324">
        <v>66483423</v>
      </c>
      <c r="G61" s="436">
        <f>IF(ISBLANK(F61),"-",(F61/$D$50*$D$47*$B$68)*($B$57/$D$60))</f>
        <v>59.008581037792588</v>
      </c>
      <c r="H61" s="454">
        <f t="shared" si="0"/>
        <v>98.347635062987649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08"/>
      <c r="D62" s="511"/>
      <c r="E62" s="371">
        <v>3</v>
      </c>
      <c r="F62" s="372">
        <v>66648345</v>
      </c>
      <c r="G62" s="436">
        <f>IF(ISBLANK(F62),"-",(F62/$D$50*$D$47*$B$68)*($B$57/$D$60))</f>
        <v>59.154960582689284</v>
      </c>
      <c r="H62" s="454">
        <f t="shared" si="0"/>
        <v>98.591600971148807</v>
      </c>
      <c r="L62" s="299"/>
    </row>
    <row r="63" spans="1:12" ht="27" customHeight="1" x14ac:dyDescent="0.4">
      <c r="A63" s="311" t="s">
        <v>97</v>
      </c>
      <c r="B63" s="312">
        <v>1</v>
      </c>
      <c r="C63" s="509"/>
      <c r="D63" s="512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7" t="s">
        <v>99</v>
      </c>
      <c r="D64" s="510">
        <v>259.77</v>
      </c>
      <c r="E64" s="369">
        <v>1</v>
      </c>
      <c r="F64" s="370">
        <v>69252818</v>
      </c>
      <c r="G64" s="435">
        <f>IF(ISBLANK(F64),"-",(F64/$D$50*$D$47*$B$68)*($B$57/$D$64))</f>
        <v>59.720357548869842</v>
      </c>
      <c r="H64" s="453">
        <f t="shared" si="0"/>
        <v>99.533929248116408</v>
      </c>
    </row>
    <row r="65" spans="1:8" ht="26.25" customHeight="1" x14ac:dyDescent="0.4">
      <c r="A65" s="311" t="s">
        <v>100</v>
      </c>
      <c r="B65" s="312">
        <v>1</v>
      </c>
      <c r="C65" s="508"/>
      <c r="D65" s="511"/>
      <c r="E65" s="371">
        <v>2</v>
      </c>
      <c r="F65" s="324">
        <v>68897486</v>
      </c>
      <c r="G65" s="436">
        <f>IF(ISBLANK(F65),"-",(F65/$D$50*$D$47*$B$68)*($B$57/$D$64))</f>
        <v>59.413936024065542</v>
      </c>
      <c r="H65" s="454">
        <f t="shared" si="0"/>
        <v>99.023226706775901</v>
      </c>
    </row>
    <row r="66" spans="1:8" ht="26.25" customHeight="1" x14ac:dyDescent="0.4">
      <c r="A66" s="311" t="s">
        <v>101</v>
      </c>
      <c r="B66" s="312">
        <v>1</v>
      </c>
      <c r="C66" s="508"/>
      <c r="D66" s="511"/>
      <c r="E66" s="371">
        <v>3</v>
      </c>
      <c r="F66" s="324">
        <v>69298025</v>
      </c>
      <c r="G66" s="436">
        <f>IF(ISBLANK(F66),"-",(F66/$D$50*$D$47*$B$68)*($B$57/$D$64))</f>
        <v>59.759341929313564</v>
      </c>
      <c r="H66" s="454">
        <f t="shared" si="0"/>
        <v>99.598903215522611</v>
      </c>
    </row>
    <row r="67" spans="1:8" ht="27" customHeight="1" x14ac:dyDescent="0.4">
      <c r="A67" s="311" t="s">
        <v>102</v>
      </c>
      <c r="B67" s="312">
        <v>1</v>
      </c>
      <c r="C67" s="509"/>
      <c r="D67" s="512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200</v>
      </c>
      <c r="C68" s="507" t="s">
        <v>104</v>
      </c>
      <c r="D68" s="510">
        <v>253.55</v>
      </c>
      <c r="E68" s="369">
        <v>1</v>
      </c>
      <c r="F68" s="370">
        <v>66679801</v>
      </c>
      <c r="G68" s="435">
        <f>IF(ISBLANK(F68),"-",(F68/$D$50*$D$47*$B$68)*($B$57/$D$68))</f>
        <v>58.912116214137178</v>
      </c>
      <c r="H68" s="454">
        <f t="shared" si="0"/>
        <v>98.186860356895295</v>
      </c>
    </row>
    <row r="69" spans="1:8" ht="27" customHeight="1" x14ac:dyDescent="0.4">
      <c r="A69" s="359" t="s">
        <v>105</v>
      </c>
      <c r="B69" s="376">
        <f>(D47*B68)/B56*B57</f>
        <v>252.16</v>
      </c>
      <c r="C69" s="508"/>
      <c r="D69" s="511"/>
      <c r="E69" s="371">
        <v>2</v>
      </c>
      <c r="F69" s="324">
        <v>66889681</v>
      </c>
      <c r="G69" s="436">
        <f>IF(ISBLANK(F69),"-",(F69/$D$50*$D$47*$B$68)*($B$57/$D$68))</f>
        <v>59.097546805794522</v>
      </c>
      <c r="H69" s="454">
        <f t="shared" si="0"/>
        <v>98.495911342990865</v>
      </c>
    </row>
    <row r="70" spans="1:8" ht="26.25" customHeight="1" x14ac:dyDescent="0.4">
      <c r="A70" s="520" t="s">
        <v>78</v>
      </c>
      <c r="B70" s="521"/>
      <c r="C70" s="508"/>
      <c r="D70" s="511"/>
      <c r="E70" s="371">
        <v>3</v>
      </c>
      <c r="F70" s="324">
        <v>66762808</v>
      </c>
      <c r="G70" s="436">
        <f>IF(ISBLANK(F70),"-",(F70/$D$50*$D$47*$B$68)*($B$57/$D$68))</f>
        <v>58.985453536043508</v>
      </c>
      <c r="H70" s="454">
        <f t="shared" si="0"/>
        <v>98.309089226739175</v>
      </c>
    </row>
    <row r="71" spans="1:8" ht="27" customHeight="1" x14ac:dyDescent="0.4">
      <c r="A71" s="522"/>
      <c r="B71" s="523"/>
      <c r="C71" s="519"/>
      <c r="D71" s="512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59.2539661972978</v>
      </c>
      <c r="H72" s="456">
        <f>AVERAGE(H60:H71)</f>
        <v>98.756610328829652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5.2777287866597935E-3</v>
      </c>
      <c r="H73" s="440">
        <f>STDEV(H60:H71)/H72</f>
        <v>5.2777287866598195E-3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515" t="str">
        <f>B26</f>
        <v xml:space="preserve">ZIDOVUDINE </v>
      </c>
      <c r="D76" s="515"/>
      <c r="E76" s="385" t="s">
        <v>108</v>
      </c>
      <c r="F76" s="385"/>
      <c r="G76" s="472">
        <f>H72</f>
        <v>98.756610328829652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01" t="str">
        <f>B26</f>
        <v xml:space="preserve">ZIDOVUDINE </v>
      </c>
      <c r="C79" s="501"/>
    </row>
    <row r="80" spans="1:8" ht="26.25" customHeight="1" x14ac:dyDescent="0.4">
      <c r="A80" s="296" t="s">
        <v>48</v>
      </c>
      <c r="B80" s="501" t="str">
        <f>B27</f>
        <v>Z1-3</v>
      </c>
      <c r="C80" s="501"/>
    </row>
    <row r="81" spans="1:12" ht="27" customHeight="1" x14ac:dyDescent="0.4">
      <c r="A81" s="296" t="s">
        <v>6</v>
      </c>
      <c r="B81" s="388">
        <f>B28</f>
        <v>99.65</v>
      </c>
    </row>
    <row r="82" spans="1:12" s="14" customFormat="1" ht="27" customHeight="1" x14ac:dyDescent="0.4">
      <c r="A82" s="296" t="s">
        <v>49</v>
      </c>
      <c r="B82" s="298">
        <v>0</v>
      </c>
      <c r="C82" s="492" t="s">
        <v>50</v>
      </c>
      <c r="D82" s="493"/>
      <c r="E82" s="493"/>
      <c r="F82" s="493"/>
      <c r="G82" s="494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99.65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495" t="s">
        <v>111</v>
      </c>
      <c r="D84" s="496"/>
      <c r="E84" s="496"/>
      <c r="F84" s="496"/>
      <c r="G84" s="496"/>
      <c r="H84" s="497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495" t="s">
        <v>112</v>
      </c>
      <c r="D85" s="496"/>
      <c r="E85" s="496"/>
      <c r="F85" s="496"/>
      <c r="G85" s="496"/>
      <c r="H85" s="497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1</v>
      </c>
      <c r="D89" s="389" t="s">
        <v>59</v>
      </c>
      <c r="E89" s="390"/>
      <c r="F89" s="498" t="s">
        <v>60</v>
      </c>
      <c r="G89" s="500"/>
    </row>
    <row r="90" spans="1:12" ht="27" customHeight="1" x14ac:dyDescent="0.4">
      <c r="A90" s="311" t="s">
        <v>61</v>
      </c>
      <c r="B90" s="312">
        <v>1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</v>
      </c>
      <c r="C91" s="393">
        <v>1</v>
      </c>
      <c r="D91" s="319"/>
      <c r="E91" s="320" t="str">
        <f>IF(ISBLANK(D91),"-",$D$101/$D$98*D91)</f>
        <v>-</v>
      </c>
      <c r="F91" s="319"/>
      <c r="G91" s="321" t="str">
        <f>IF(ISBLANK(F91),"-",$D$101/$F$98*F91)</f>
        <v>-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/>
      <c r="E92" s="325" t="str">
        <f>IF(ISBLANK(D92),"-",$D$101/$D$98*D92)</f>
        <v>-</v>
      </c>
      <c r="F92" s="324"/>
      <c r="G92" s="326" t="str">
        <f>IF(ISBLANK(F92),"-",$D$101/$F$98*F92)</f>
        <v>-</v>
      </c>
      <c r="I92" s="502" t="e">
        <f>ABS((F96/D96*D95)-F95)/D95</f>
        <v>#DIV/0!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/>
      <c r="E93" s="325" t="str">
        <f>IF(ISBLANK(D93),"-",$D$101/$D$98*D93)</f>
        <v>-</v>
      </c>
      <c r="F93" s="324"/>
      <c r="G93" s="326" t="str">
        <f>IF(ISBLANK(F93),"-",$D$101/$F$98*F93)</f>
        <v>-</v>
      </c>
      <c r="I93" s="502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 t="e">
        <f>AVERAGE(D91:D94)</f>
        <v>#DIV/0!</v>
      </c>
      <c r="E95" s="335" t="e">
        <f>AVERAGE(E91:E94)</f>
        <v>#DIV/0!</v>
      </c>
      <c r="F95" s="398" t="e">
        <f>AVERAGE(F91:F94)</f>
        <v>#DIV/0!</v>
      </c>
      <c r="G95" s="399" t="e">
        <f>AVERAGE(G91:G94)</f>
        <v>#DIV/0!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25.12</v>
      </c>
      <c r="E96" s="327"/>
      <c r="F96" s="339">
        <v>25.78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25.12</v>
      </c>
      <c r="E97" s="342"/>
      <c r="F97" s="341">
        <f>F96*$B$87</f>
        <v>25.78</v>
      </c>
    </row>
    <row r="98" spans="1:10" ht="19.5" customHeight="1" x14ac:dyDescent="0.3">
      <c r="A98" s="311" t="s">
        <v>76</v>
      </c>
      <c r="B98" s="404">
        <f>(B97/B96)*(B95/B94)*(B93/B92)*(B91/B90)*B89</f>
        <v>1</v>
      </c>
      <c r="C98" s="402" t="s">
        <v>115</v>
      </c>
      <c r="D98" s="405">
        <f>D97*$B$83/100</f>
        <v>25.032080000000001</v>
      </c>
      <c r="E98" s="345"/>
      <c r="F98" s="344">
        <f>F97*$B$83/100</f>
        <v>25.689770000000003</v>
      </c>
    </row>
    <row r="99" spans="1:10" ht="19.5" customHeight="1" x14ac:dyDescent="0.3">
      <c r="A99" s="503" t="s">
        <v>78</v>
      </c>
      <c r="B99" s="517"/>
      <c r="C99" s="402" t="s">
        <v>116</v>
      </c>
      <c r="D99" s="406">
        <f>D98/$B$98</f>
        <v>25.032080000000001</v>
      </c>
      <c r="E99" s="345"/>
      <c r="F99" s="348">
        <f>F98/$B$98</f>
        <v>25.689770000000003</v>
      </c>
      <c r="G99" s="407"/>
      <c r="H99" s="337"/>
    </row>
    <row r="100" spans="1:10" ht="19.5" customHeight="1" x14ac:dyDescent="0.3">
      <c r="A100" s="505"/>
      <c r="B100" s="518"/>
      <c r="C100" s="402" t="s">
        <v>80</v>
      </c>
      <c r="D100" s="408">
        <f>$B$56/$B$116</f>
        <v>60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60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60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 t="e">
        <f>AVERAGE(E91:E94,G91:G94)</f>
        <v>#DIV/0!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 t="e">
        <f>STDEV(E91:E94,G91:G94)/D103</f>
        <v>#DIV/0!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0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1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/>
      <c r="E108" s="437" t="str">
        <f t="shared" ref="E108:E113" si="1">IF(ISBLANK(D108),"-",D108/$D$103*$D$100*$B$116)</f>
        <v>-</v>
      </c>
      <c r="F108" s="464" t="str">
        <f t="shared" ref="F108:F113" si="2">IF(ISBLANK(D108), "-", (E108/$B$56)*100)</f>
        <v>-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/>
      <c r="E109" s="438" t="str">
        <f t="shared" si="1"/>
        <v>-</v>
      </c>
      <c r="F109" s="465" t="str">
        <f t="shared" si="2"/>
        <v>-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/>
      <c r="E110" s="438" t="str">
        <f t="shared" si="1"/>
        <v>-</v>
      </c>
      <c r="F110" s="465" t="str">
        <f t="shared" si="2"/>
        <v>-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/>
      <c r="E111" s="438" t="str">
        <f t="shared" si="1"/>
        <v>-</v>
      </c>
      <c r="F111" s="465" t="str">
        <f t="shared" si="2"/>
        <v>-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/>
      <c r="E112" s="438" t="str">
        <f t="shared" si="1"/>
        <v>-</v>
      </c>
      <c r="F112" s="465" t="str">
        <f t="shared" si="2"/>
        <v>-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/>
      <c r="E113" s="439" t="str">
        <f t="shared" si="1"/>
        <v>-</v>
      </c>
      <c r="F113" s="466" t="str">
        <f t="shared" si="2"/>
        <v>-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 t="e">
        <f>AVERAGE(E108:E113)</f>
        <v>#DIV/0!</v>
      </c>
      <c r="F115" s="468" t="e">
        <f>AVERAGE(F108:F113)</f>
        <v>#DIV/0!</v>
      </c>
    </row>
    <row r="116" spans="1:10" ht="27" customHeight="1" x14ac:dyDescent="0.4">
      <c r="A116" s="311" t="s">
        <v>103</v>
      </c>
      <c r="B116" s="343">
        <f>(B115/B114)*(B113/B112)*(B111/B110)*(B109/B108)*B107</f>
        <v>1</v>
      </c>
      <c r="C116" s="421"/>
      <c r="D116" s="445" t="s">
        <v>84</v>
      </c>
      <c r="E116" s="443" t="e">
        <f>STDEV(E108:E113)/E115</f>
        <v>#DIV/0!</v>
      </c>
      <c r="F116" s="422" t="e">
        <f>STDEV(F108:F113)/F115</f>
        <v>#DIV/0!</v>
      </c>
      <c r="I116" s="285"/>
    </row>
    <row r="117" spans="1:10" ht="27" customHeight="1" x14ac:dyDescent="0.4">
      <c r="A117" s="503" t="s">
        <v>78</v>
      </c>
      <c r="B117" s="504"/>
      <c r="C117" s="423"/>
      <c r="D117" s="382" t="s">
        <v>20</v>
      </c>
      <c r="E117" s="448">
        <f>COUNT(E108:E113)</f>
        <v>0</v>
      </c>
      <c r="F117" s="449">
        <f>COUNT(F108:F113)</f>
        <v>0</v>
      </c>
      <c r="I117" s="285"/>
      <c r="J117" s="416"/>
    </row>
    <row r="118" spans="1:10" ht="26.25" customHeight="1" x14ac:dyDescent="0.3">
      <c r="A118" s="505"/>
      <c r="B118" s="506"/>
      <c r="C118" s="285"/>
      <c r="D118" s="447"/>
      <c r="E118" s="483" t="s">
        <v>123</v>
      </c>
      <c r="F118" s="484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0</v>
      </c>
      <c r="F119" s="469">
        <f>MIN(F108:F113)</f>
        <v>0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0</v>
      </c>
      <c r="F120" s="470">
        <f>MAX(F108:F113)</f>
        <v>0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515" t="str">
        <f>B26</f>
        <v xml:space="preserve">ZIDOVUDINE </v>
      </c>
      <c r="D124" s="515"/>
      <c r="E124" s="385" t="s">
        <v>127</v>
      </c>
      <c r="F124" s="385"/>
      <c r="G124" s="471" t="e">
        <f>F115</f>
        <v>#DIV/0!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0</v>
      </c>
      <c r="E125" s="396" t="s">
        <v>130</v>
      </c>
      <c r="F125" s="471">
        <f>MAX(F108:F113)</f>
        <v>0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516" t="s">
        <v>26</v>
      </c>
      <c r="C127" s="516"/>
      <c r="E127" s="391" t="s">
        <v>27</v>
      </c>
      <c r="F127" s="426"/>
      <c r="G127" s="516" t="s">
        <v>28</v>
      </c>
      <c r="H127" s="516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Zidovudine</vt:lpstr>
      <vt:lpstr>Uniformity</vt:lpstr>
      <vt:lpstr>Lamivudine</vt:lpstr>
      <vt:lpstr>Zidovudine</vt:lpstr>
      <vt:lpstr>Lamivudine!Print_Area</vt:lpstr>
      <vt:lpstr>'SST Lamivudine'!Print_Area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2017-08-21T07:21:41Z</cp:lastPrinted>
  <dcterms:created xsi:type="dcterms:W3CDTF">2005-07-05T10:19:27Z</dcterms:created>
  <dcterms:modified xsi:type="dcterms:W3CDTF">2017-08-21T07:24:38Z</dcterms:modified>
</cp:coreProperties>
</file>