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30" windowHeight="11445" activeTab="6"/>
  </bookViews>
  <sheets>
    <sheet name="SST Lamivudine" sheetId="11" r:id="rId1"/>
    <sheet name="SST Zidovudine" sheetId="12" r:id="rId2"/>
    <sheet name="SST Nevirapine" sheetId="13" r:id="rId3"/>
    <sheet name="Uniformity" sheetId="2" r:id="rId4"/>
    <sheet name="Lamivudine" sheetId="3" r:id="rId5"/>
    <sheet name="Nevirapine" sheetId="4" r:id="rId6"/>
    <sheet name="Zidovudine" sheetId="5" r:id="rId7"/>
  </sheets>
  <definedNames>
    <definedName name="_xlnm.Print_Area" localSheetId="4">Lamivudine!$A$1:$H$129</definedName>
    <definedName name="_xlnm.Print_Area" localSheetId="3">Uniformity!$A$1:$F$54</definedName>
    <definedName name="_xlnm.Print_Area" localSheetId="6">Zidovudine!$A$1:$H$129</definedName>
  </definedNames>
  <calcPr calcId="145621"/>
</workbook>
</file>

<file path=xl/calcChain.xml><?xml version="1.0" encoding="utf-8"?>
<calcChain xmlns="http://schemas.openxmlformats.org/spreadsheetml/2006/main">
  <c r="B18" i="11" l="1"/>
  <c r="B53" i="13"/>
  <c r="E51" i="13"/>
  <c r="D51" i="13"/>
  <c r="C51" i="13"/>
  <c r="B51" i="13"/>
  <c r="B52" i="13" s="1"/>
  <c r="B32" i="13"/>
  <c r="F30" i="13"/>
  <c r="E30" i="13"/>
  <c r="D30" i="13"/>
  <c r="C30" i="13"/>
  <c r="B30" i="13"/>
  <c r="B31" i="13" s="1"/>
  <c r="B53" i="12"/>
  <c r="E51" i="12"/>
  <c r="D51" i="12"/>
  <c r="C51" i="12"/>
  <c r="B51" i="12"/>
  <c r="B52" i="12" s="1"/>
  <c r="B32" i="12"/>
  <c r="F30" i="12"/>
  <c r="E30" i="12"/>
  <c r="D30" i="12"/>
  <c r="C30" i="12"/>
  <c r="B30" i="12"/>
  <c r="B31" i="12" s="1"/>
  <c r="B53" i="11"/>
  <c r="E51" i="11"/>
  <c r="D51" i="11"/>
  <c r="C51" i="11"/>
  <c r="B51" i="11"/>
  <c r="B52" i="11" s="1"/>
  <c r="B32" i="11"/>
  <c r="E30" i="11"/>
  <c r="D30" i="11"/>
  <c r="C30" i="11"/>
  <c r="B30" i="11"/>
  <c r="B31" i="11" s="1"/>
  <c r="B18" i="12"/>
  <c r="B18" i="13" s="1"/>
  <c r="C124" i="5" l="1"/>
  <c r="B116" i="5"/>
  <c r="D100" i="5" s="1"/>
  <c r="B98" i="5"/>
  <c r="F95" i="5"/>
  <c r="D95" i="5"/>
  <c r="I92" i="5" s="1"/>
  <c r="B87" i="5"/>
  <c r="D97" i="5" s="1"/>
  <c r="B81" i="5"/>
  <c r="B83" i="5" s="1"/>
  <c r="B80" i="5"/>
  <c r="B79" i="5"/>
  <c r="C76" i="5"/>
  <c r="B68" i="5"/>
  <c r="C56" i="5"/>
  <c r="B55" i="5"/>
  <c r="B45" i="5"/>
  <c r="D48" i="5" s="1"/>
  <c r="F42" i="5"/>
  <c r="D42" i="5"/>
  <c r="B34" i="5"/>
  <c r="F44" i="5" s="1"/>
  <c r="B30" i="5"/>
  <c r="C124" i="4"/>
  <c r="B116" i="4"/>
  <c r="D100" i="4" s="1"/>
  <c r="B98" i="4"/>
  <c r="D97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F44" i="4" s="1"/>
  <c r="B30" i="4"/>
  <c r="C124" i="3"/>
  <c r="B116" i="3"/>
  <c r="D100" i="3"/>
  <c r="B98" i="3"/>
  <c r="F95" i="3"/>
  <c r="D95" i="3"/>
  <c r="B87" i="3"/>
  <c r="D97" i="3" s="1"/>
  <c r="B81" i="3"/>
  <c r="B83" i="3" s="1"/>
  <c r="B80" i="3"/>
  <c r="B79" i="3"/>
  <c r="C76" i="3"/>
  <c r="B68" i="3"/>
  <c r="C56" i="3"/>
  <c r="B55" i="3"/>
  <c r="B45" i="3"/>
  <c r="D48" i="3" s="1"/>
  <c r="D44" i="3"/>
  <c r="F42" i="3"/>
  <c r="D42" i="3"/>
  <c r="B34" i="3"/>
  <c r="F44" i="3" s="1"/>
  <c r="B30" i="3"/>
  <c r="C46" i="2"/>
  <c r="B57" i="5" s="1"/>
  <c r="C45" i="2"/>
  <c r="C19" i="2"/>
  <c r="D98" i="3" l="1"/>
  <c r="D99" i="3" s="1"/>
  <c r="I39" i="3"/>
  <c r="I92" i="3"/>
  <c r="D45" i="3"/>
  <c r="E38" i="3" s="1"/>
  <c r="F45" i="3"/>
  <c r="G40" i="3" s="1"/>
  <c r="D101" i="4"/>
  <c r="E93" i="4" s="1"/>
  <c r="F98" i="4"/>
  <c r="F99" i="4" s="1"/>
  <c r="I92" i="4"/>
  <c r="I39" i="4"/>
  <c r="F45" i="4"/>
  <c r="F46" i="4" s="1"/>
  <c r="D44" i="4"/>
  <c r="D45" i="4"/>
  <c r="D46" i="4" s="1"/>
  <c r="B69" i="5"/>
  <c r="F45" i="5"/>
  <c r="G41" i="5" s="1"/>
  <c r="D98" i="5"/>
  <c r="D99" i="5" s="1"/>
  <c r="D49" i="4"/>
  <c r="F46" i="3"/>
  <c r="G39" i="3"/>
  <c r="G92" i="4"/>
  <c r="G91" i="4"/>
  <c r="G94" i="4"/>
  <c r="E92" i="4"/>
  <c r="D98" i="4"/>
  <c r="D99" i="4" s="1"/>
  <c r="D50" i="2"/>
  <c r="D30" i="2"/>
  <c r="D34" i="2"/>
  <c r="D38" i="2"/>
  <c r="B49" i="2"/>
  <c r="D27" i="2"/>
  <c r="D31" i="2"/>
  <c r="D39" i="2"/>
  <c r="D43" i="2"/>
  <c r="D44" i="5"/>
  <c r="D45" i="5" s="1"/>
  <c r="E38" i="5" s="1"/>
  <c r="D24" i="2"/>
  <c r="D28" i="2"/>
  <c r="D32" i="2"/>
  <c r="D36" i="2"/>
  <c r="D40" i="2"/>
  <c r="D49" i="2"/>
  <c r="G38" i="3"/>
  <c r="B57" i="3"/>
  <c r="B69" i="3" s="1"/>
  <c r="F97" i="3"/>
  <c r="F98" i="3" s="1"/>
  <c r="F99" i="3" s="1"/>
  <c r="I39" i="5"/>
  <c r="D25" i="2"/>
  <c r="D29" i="2"/>
  <c r="D33" i="2"/>
  <c r="D37" i="2"/>
  <c r="D41" i="2"/>
  <c r="D101" i="3"/>
  <c r="D49" i="5"/>
  <c r="D26" i="2"/>
  <c r="D42" i="2"/>
  <c r="B57" i="4"/>
  <c r="B69" i="4" s="1"/>
  <c r="F97" i="5"/>
  <c r="F98" i="5" s="1"/>
  <c r="F99" i="5" s="1"/>
  <c r="C50" i="2"/>
  <c r="D35" i="2"/>
  <c r="C49" i="2"/>
  <c r="D49" i="3"/>
  <c r="D101" i="5"/>
  <c r="E40" i="3" l="1"/>
  <c r="G41" i="3"/>
  <c r="G42" i="3" s="1"/>
  <c r="D46" i="3"/>
  <c r="E41" i="3"/>
  <c r="E39" i="3"/>
  <c r="D102" i="4"/>
  <c r="G93" i="4"/>
  <c r="G95" i="4" s="1"/>
  <c r="G38" i="4"/>
  <c r="G42" i="4" s="1"/>
  <c r="G40" i="4"/>
  <c r="G39" i="4"/>
  <c r="G41" i="4"/>
  <c r="E40" i="4"/>
  <c r="E39" i="4"/>
  <c r="E91" i="4"/>
  <c r="E94" i="4"/>
  <c r="E38" i="4"/>
  <c r="E41" i="4"/>
  <c r="G40" i="5"/>
  <c r="F46" i="5"/>
  <c r="E41" i="5"/>
  <c r="E39" i="5"/>
  <c r="G38" i="5"/>
  <c r="G39" i="5"/>
  <c r="E93" i="3"/>
  <c r="G91" i="3"/>
  <c r="G92" i="3"/>
  <c r="D102" i="3"/>
  <c r="E94" i="3"/>
  <c r="G93" i="3"/>
  <c r="E91" i="3"/>
  <c r="G94" i="3"/>
  <c r="E92" i="3"/>
  <c r="D46" i="5"/>
  <c r="E40" i="5"/>
  <c r="E93" i="5"/>
  <c r="G91" i="5"/>
  <c r="E91" i="5"/>
  <c r="G94" i="5"/>
  <c r="G92" i="5"/>
  <c r="D102" i="5"/>
  <c r="E94" i="5"/>
  <c r="E92" i="5"/>
  <c r="G93" i="5"/>
  <c r="D52" i="3" l="1"/>
  <c r="E42" i="3"/>
  <c r="D50" i="3"/>
  <c r="G69" i="3" s="1"/>
  <c r="H69" i="3" s="1"/>
  <c r="G95" i="3"/>
  <c r="D103" i="4"/>
  <c r="E110" i="4" s="1"/>
  <c r="F110" i="4" s="1"/>
  <c r="E95" i="4"/>
  <c r="D52" i="4"/>
  <c r="E42" i="4"/>
  <c r="D50" i="4"/>
  <c r="G70" i="4" s="1"/>
  <c r="H70" i="4" s="1"/>
  <c r="D105" i="4"/>
  <c r="E42" i="5"/>
  <c r="G42" i="5"/>
  <c r="D50" i="5"/>
  <c r="G69" i="5" s="1"/>
  <c r="H69" i="5" s="1"/>
  <c r="G95" i="5"/>
  <c r="D52" i="5"/>
  <c r="D104" i="4"/>
  <c r="E109" i="4"/>
  <c r="F109" i="4" s="1"/>
  <c r="E108" i="4"/>
  <c r="D105" i="3"/>
  <c r="E95" i="3"/>
  <c r="D103" i="3"/>
  <c r="D105" i="5"/>
  <c r="E95" i="5"/>
  <c r="D103" i="5"/>
  <c r="D51" i="3" l="1"/>
  <c r="G63" i="3"/>
  <c r="H63" i="3" s="1"/>
  <c r="G62" i="3"/>
  <c r="H62" i="3" s="1"/>
  <c r="G61" i="3"/>
  <c r="H61" i="3" s="1"/>
  <c r="G64" i="3"/>
  <c r="H64" i="3" s="1"/>
  <c r="G65" i="3"/>
  <c r="H65" i="3" s="1"/>
  <c r="G70" i="3"/>
  <c r="H70" i="3" s="1"/>
  <c r="G71" i="3"/>
  <c r="H71" i="3" s="1"/>
  <c r="G67" i="3"/>
  <c r="H67" i="3" s="1"/>
  <c r="G68" i="3"/>
  <c r="H68" i="3" s="1"/>
  <c r="G66" i="3"/>
  <c r="H66" i="3" s="1"/>
  <c r="G60" i="3"/>
  <c r="E113" i="4"/>
  <c r="F113" i="4" s="1"/>
  <c r="E112" i="4"/>
  <c r="F112" i="4" s="1"/>
  <c r="E111" i="4"/>
  <c r="F111" i="4" s="1"/>
  <c r="D51" i="4"/>
  <c r="G66" i="4"/>
  <c r="H66" i="4" s="1"/>
  <c r="G68" i="4"/>
  <c r="H68" i="4" s="1"/>
  <c r="G62" i="4"/>
  <c r="H62" i="4" s="1"/>
  <c r="G65" i="4"/>
  <c r="H65" i="4" s="1"/>
  <c r="G64" i="4"/>
  <c r="H64" i="4" s="1"/>
  <c r="G69" i="4"/>
  <c r="H69" i="4" s="1"/>
  <c r="G67" i="4"/>
  <c r="H67" i="4" s="1"/>
  <c r="G63" i="4"/>
  <c r="H63" i="4" s="1"/>
  <c r="G60" i="4"/>
  <c r="H60" i="4" s="1"/>
  <c r="G71" i="4"/>
  <c r="H71" i="4" s="1"/>
  <c r="G61" i="4"/>
  <c r="H61" i="4" s="1"/>
  <c r="G61" i="5"/>
  <c r="H61" i="5" s="1"/>
  <c r="G70" i="5"/>
  <c r="H70" i="5" s="1"/>
  <c r="G62" i="5"/>
  <c r="H62" i="5" s="1"/>
  <c r="G64" i="5"/>
  <c r="H64" i="5" s="1"/>
  <c r="D51" i="5"/>
  <c r="G67" i="5"/>
  <c r="H67" i="5" s="1"/>
  <c r="G66" i="5"/>
  <c r="H66" i="5" s="1"/>
  <c r="G63" i="5"/>
  <c r="H63" i="5" s="1"/>
  <c r="G65" i="5"/>
  <c r="H65" i="5" s="1"/>
  <c r="G71" i="5"/>
  <c r="H71" i="5" s="1"/>
  <c r="G68" i="5"/>
  <c r="H68" i="5" s="1"/>
  <c r="G60" i="5"/>
  <c r="H60" i="5" s="1"/>
  <c r="F108" i="4"/>
  <c r="E109" i="3"/>
  <c r="F109" i="3" s="1"/>
  <c r="E111" i="3"/>
  <c r="F111" i="3" s="1"/>
  <c r="E113" i="3"/>
  <c r="F113" i="3" s="1"/>
  <c r="E108" i="3"/>
  <c r="E110" i="3"/>
  <c r="F110" i="3" s="1"/>
  <c r="D104" i="3"/>
  <c r="E112" i="3"/>
  <c r="F112" i="3" s="1"/>
  <c r="E113" i="5"/>
  <c r="F113" i="5" s="1"/>
  <c r="E111" i="5"/>
  <c r="F111" i="5" s="1"/>
  <c r="E112" i="5"/>
  <c r="F112" i="5" s="1"/>
  <c r="E110" i="5"/>
  <c r="F110" i="5" s="1"/>
  <c r="D104" i="5"/>
  <c r="E109" i="5"/>
  <c r="F109" i="5" s="1"/>
  <c r="E108" i="5"/>
  <c r="G72" i="3" l="1"/>
  <c r="G73" i="3" s="1"/>
  <c r="H60" i="3"/>
  <c r="H74" i="3" s="1"/>
  <c r="G74" i="3"/>
  <c r="E119" i="4"/>
  <c r="E117" i="4"/>
  <c r="E115" i="4"/>
  <c r="E116" i="4" s="1"/>
  <c r="E120" i="4"/>
  <c r="G72" i="4"/>
  <c r="G73" i="4" s="1"/>
  <c r="G74" i="4"/>
  <c r="G74" i="5"/>
  <c r="G72" i="5"/>
  <c r="G73" i="5" s="1"/>
  <c r="H74" i="5"/>
  <c r="H72" i="5"/>
  <c r="E119" i="3"/>
  <c r="E117" i="3"/>
  <c r="E115" i="3"/>
  <c r="E116" i="3" s="1"/>
  <c r="F108" i="3"/>
  <c r="E120" i="3"/>
  <c r="H74" i="4"/>
  <c r="H72" i="4"/>
  <c r="E115" i="5"/>
  <c r="E116" i="5" s="1"/>
  <c r="E117" i="5"/>
  <c r="E120" i="5"/>
  <c r="E119" i="5"/>
  <c r="F108" i="5"/>
  <c r="D125" i="4"/>
  <c r="F115" i="4"/>
  <c r="F119" i="4"/>
  <c r="F117" i="4"/>
  <c r="F120" i="4"/>
  <c r="F125" i="4"/>
  <c r="H72" i="3" l="1"/>
  <c r="G76" i="3" s="1"/>
  <c r="H73" i="4"/>
  <c r="G76" i="4"/>
  <c r="F117" i="3"/>
  <c r="F125" i="3"/>
  <c r="F120" i="3"/>
  <c r="D125" i="3"/>
  <c r="F119" i="3"/>
  <c r="F115" i="3"/>
  <c r="G76" i="5"/>
  <c r="H73" i="5"/>
  <c r="F119" i="5"/>
  <c r="F125" i="5"/>
  <c r="F120" i="5"/>
  <c r="F117" i="5"/>
  <c r="D125" i="5"/>
  <c r="F115" i="5"/>
  <c r="G124" i="4"/>
  <c r="F116" i="4"/>
  <c r="H73" i="3" l="1"/>
  <c r="F116" i="3"/>
  <c r="G124" i="3"/>
  <c r="G124" i="5"/>
  <c r="F116" i="5"/>
</calcChain>
</file>

<file path=xl/sharedStrings.xml><?xml version="1.0" encoding="utf-8"?>
<sst xmlns="http://schemas.openxmlformats.org/spreadsheetml/2006/main" count="663" uniqueCount="144">
  <si>
    <t>HPLC System Suitability Report</t>
  </si>
  <si>
    <t>Analysis Data</t>
  </si>
  <si>
    <t>Assay</t>
  </si>
  <si>
    <t>Sample(s)</t>
  </si>
  <si>
    <t>Reference Substance:</t>
  </si>
  <si>
    <t>LAMIVUDINE/NEVIRAPINE/ZIDOVUDINE TABLETS 150 MG/200 MG/300 MG</t>
  </si>
  <si>
    <t>% age Purity:</t>
  </si>
  <si>
    <t>NDQB201707057</t>
  </si>
  <si>
    <t>Weight (mg):</t>
  </si>
  <si>
    <t>Lamivudine/Nevirapine/Zidovudine</t>
  </si>
  <si>
    <t>Standard Conc (mg/mL):</t>
  </si>
  <si>
    <t>Each Film Coated Tablet Contains Lamivudine USP 150MG, Nevirapine USP 200MG, Zidovudine USP 300MG</t>
  </si>
  <si>
    <t>2017-07-20 10:25:20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</si>
  <si>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</si>
  <si>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</si>
  <si>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</si>
  <si>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</si>
  <si>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</si>
  <si>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</si>
  <si>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</si>
  <si>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</si>
  <si>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</si>
  <si>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</si>
  <si>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</si>
  <si>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</si>
  <si>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</si>
  <si>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</si>
  <si>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</si>
  <si>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</si>
  <si>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</si>
  <si>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</si>
  <si>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</si>
  <si>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</si>
  <si>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</si>
  <si>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</si>
  <si>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</si>
  <si>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</si>
  <si>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</si>
  <si>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</si>
  <si>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</si>
  <si>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</si>
  <si>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</si>
  <si>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</si>
  <si>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</si>
  <si>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</si>
  <si>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</si>
  <si>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</si>
  <si>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</si>
  <si>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</si>
  <si>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</si>
  <si>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</si>
  <si>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</si>
  <si>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</si>
  <si>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</si>
  <si>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</si>
  <si>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</si>
  <si>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</si>
  <si>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</si>
  <si>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</si>
  <si>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</si>
  <si>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</si>
  <si>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</si>
  <si>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</si>
  <si>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</si>
  <si>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</si>
  <si>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</si>
  <si>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</si>
  <si>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</si>
  <si>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</si>
  <si>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</si>
  <si>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</si>
  <si>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</si>
  <si>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</si>
  <si>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</si>
  <si>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</si>
  <si>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</si>
  <si>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</si>
  <si>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</si>
  <si>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</si>
  <si>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</si>
  <si>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</si>
  <si>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</si>
  <si>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</si>
  <si>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</si>
  <si>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</si>
  <si>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</si>
  <si>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</si>
  <si>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</si>
  <si>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</si>
  <si>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</si>
  <si>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</si>
  <si>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</si>
  <si>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</si>
  <si>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</si>
  <si>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</si>
  <si>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</si>
  <si>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</si>
  <si>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</si>
  <si>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</si>
  <si>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</si>
  <si>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</si>
  <si>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</si>
  <si>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</si>
  <si>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</si>
  <si>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</si>
  <si>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</si>
  <si>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</si>
  <si>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</si>
  <si>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</si>
  <si>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</si>
  <si>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</si>
  <si>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</si>
  <si>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</si>
  <si>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</si>
  <si>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</si>
  <si>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</si>
  <si>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</si>
  <si>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</si>
  <si>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</si>
  <si>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</si>
  <si>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</si>
  <si>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</si>
  <si>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</si>
  <si>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</si>
  <si>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</si>
  <si>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</si>
  <si>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</si>
  <si>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</si>
  <si>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</si>
  <si>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</si>
  <si>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</si>
  <si>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</si>
  <si>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Z1-3</t>
  </si>
  <si>
    <t>DBH027-C16A-160912</t>
  </si>
  <si>
    <t>Nevirapine</t>
  </si>
  <si>
    <t>LAMIVUDINE</t>
  </si>
  <si>
    <t>Lamivudine</t>
  </si>
  <si>
    <t>L3-10</t>
  </si>
  <si>
    <t>LAMIVUDINE, ZIDOVUDINE AND NEVIRAPINE DISPERSIBLE TABLETS</t>
  </si>
  <si>
    <t>2017-07-20 09:39:30</t>
  </si>
  <si>
    <t>Peak Resolution (USP)</t>
  </si>
  <si>
    <r>
      <t xml:space="preserve">The Peak resolution (USP) between the peak pair of Lamivudine &amp; Zidovudine is </t>
    </r>
    <r>
      <rPr>
        <b/>
        <sz val="12"/>
        <color rgb="FF000000"/>
        <rFont val="Book Antiqua"/>
        <family val="1"/>
      </rPr>
      <t>NLT 3.0</t>
    </r>
  </si>
  <si>
    <t>2017-07-19 12:29:00</t>
  </si>
  <si>
    <r>
      <t xml:space="preserve">The Peak resolution (USP) between the peak pair of Lamivudine &amp; Nevirapine is </t>
    </r>
    <r>
      <rPr>
        <b/>
        <sz val="12"/>
        <color rgb="FF000000"/>
        <rFont val="Book Antiqua"/>
        <family val="1"/>
      </rPr>
      <t>NLT 2.0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</si>
</sst>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5" fillId="2" borderId="0"/>
  </cellStyleXfs>
  <cellXfs count="71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0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5" fillId="2" borderId="0" xfId="1" applyFont="1" applyFill="1" applyBorder="1" applyAlignment="1">
      <alignment horizontal="center"/>
    </xf>
    <xf numFmtId="2" fontId="7" fillId="3" borderId="0" xfId="1" applyNumberFormat="1" applyFont="1" applyFill="1" applyBorder="1" applyAlignment="1" applyProtection="1">
      <alignment horizontal="center"/>
      <protection locked="0"/>
    </xf>
    <xf numFmtId="2" fontId="5" fillId="4" borderId="0" xfId="1" applyNumberFormat="1" applyFont="1" applyFill="1" applyBorder="1" applyAlignment="1">
      <alignment horizontal="center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5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2" fillId="2" borderId="0" xfId="1" applyFont="1" applyFill="1" applyBorder="1"/>
    <xf numFmtId="0" fontId="1" fillId="2" borderId="11" xfId="1" applyFont="1" applyFill="1" applyBorder="1"/>
    <xf numFmtId="0" fontId="1" fillId="2" borderId="0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8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J61"/>
  <sheetViews>
    <sheetView topLeftCell="A4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6" width="25.7109375" style="664" customWidth="1"/>
    <col min="7" max="7" width="23.140625" style="664" customWidth="1"/>
    <col min="8" max="8" width="28.42578125" style="664" customWidth="1"/>
    <col min="9" max="9" width="21.5703125" style="664" customWidth="1"/>
    <col min="10" max="10" width="9.140625" style="664" customWidth="1"/>
    <col min="11" max="16384" width="9.140625" style="706"/>
  </cols>
  <sheetData>
    <row r="14" spans="1:7" ht="15" customHeight="1" x14ac:dyDescent="0.3">
      <c r="A14" s="663"/>
      <c r="C14" s="665"/>
      <c r="G14" s="665"/>
    </row>
    <row r="15" spans="1:7" ht="18.75" customHeight="1" x14ac:dyDescent="0.3">
      <c r="A15" s="666" t="s">
        <v>0</v>
      </c>
      <c r="B15" s="666"/>
      <c r="C15" s="666"/>
      <c r="D15" s="666"/>
      <c r="E15" s="666"/>
      <c r="F15" s="667"/>
    </row>
    <row r="16" spans="1:7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138</v>
      </c>
      <c r="D17" s="671"/>
      <c r="E17" s="672"/>
      <c r="F17" s="672"/>
    </row>
    <row r="18" spans="1:6" ht="16.5" customHeight="1" x14ac:dyDescent="0.3">
      <c r="A18" s="673" t="s">
        <v>4</v>
      </c>
      <c r="B18" s="670" t="str">
        <f>Lamivudine!B19</f>
        <v>NDQB201707057</v>
      </c>
      <c r="C18" s="672"/>
      <c r="D18" s="672"/>
      <c r="E18" s="672"/>
      <c r="F18" s="672"/>
    </row>
    <row r="19" spans="1:6" ht="16.5" customHeight="1" x14ac:dyDescent="0.3">
      <c r="A19" s="673" t="s">
        <v>6</v>
      </c>
      <c r="B19" s="674">
        <v>99.39</v>
      </c>
      <c r="C19" s="672"/>
      <c r="D19" s="672"/>
      <c r="E19" s="672"/>
      <c r="F19" s="672"/>
    </row>
    <row r="20" spans="1:6" ht="16.5" customHeight="1" x14ac:dyDescent="0.3">
      <c r="A20" s="670" t="s">
        <v>8</v>
      </c>
      <c r="B20" s="674">
        <v>14.63</v>
      </c>
      <c r="C20" s="672"/>
      <c r="D20" s="672"/>
      <c r="E20" s="672"/>
      <c r="F20" s="672"/>
    </row>
    <row r="21" spans="1:6" ht="16.5" customHeight="1" x14ac:dyDescent="0.3">
      <c r="A21" s="670" t="s">
        <v>10</v>
      </c>
      <c r="B21" s="675">
        <v>0.14630000000000001</v>
      </c>
      <c r="C21" s="672"/>
      <c r="D21" s="672"/>
      <c r="E21" s="672"/>
      <c r="F21" s="672"/>
    </row>
    <row r="22" spans="1:6" ht="15.75" customHeight="1" x14ac:dyDescent="0.25">
      <c r="A22" s="672"/>
      <c r="B22" s="672" t="s">
        <v>139</v>
      </c>
      <c r="C22" s="672"/>
      <c r="D22" s="672"/>
      <c r="E22" s="672"/>
      <c r="F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</row>
    <row r="24" spans="1:6" ht="16.5" customHeight="1" x14ac:dyDescent="0.3">
      <c r="A24" s="678">
        <v>1</v>
      </c>
      <c r="B24" s="679">
        <v>37564202</v>
      </c>
      <c r="C24" s="679">
        <v>7643.7</v>
      </c>
      <c r="D24" s="680">
        <v>1.1000000000000001</v>
      </c>
      <c r="E24" s="681">
        <v>3.9</v>
      </c>
    </row>
    <row r="25" spans="1:6" ht="16.5" customHeight="1" x14ac:dyDescent="0.3">
      <c r="A25" s="678">
        <v>2</v>
      </c>
      <c r="B25" s="679">
        <v>37515187</v>
      </c>
      <c r="C25" s="679">
        <v>7668.1</v>
      </c>
      <c r="D25" s="680">
        <v>1.1000000000000001</v>
      </c>
      <c r="E25" s="680">
        <v>3.9</v>
      </c>
    </row>
    <row r="26" spans="1:6" ht="16.5" customHeight="1" x14ac:dyDescent="0.3">
      <c r="A26" s="678">
        <v>3</v>
      </c>
      <c r="B26" s="679">
        <v>37550583</v>
      </c>
      <c r="C26" s="679">
        <v>7652.1</v>
      </c>
      <c r="D26" s="680">
        <v>1.1000000000000001</v>
      </c>
      <c r="E26" s="680">
        <v>3.9</v>
      </c>
    </row>
    <row r="27" spans="1:6" ht="16.5" customHeight="1" x14ac:dyDescent="0.3">
      <c r="A27" s="678">
        <v>4</v>
      </c>
      <c r="B27" s="679">
        <v>37559317</v>
      </c>
      <c r="C27" s="679">
        <v>7644.9</v>
      </c>
      <c r="D27" s="680">
        <v>1.1000000000000001</v>
      </c>
      <c r="E27" s="680">
        <v>3.9</v>
      </c>
    </row>
    <row r="28" spans="1:6" ht="16.5" customHeight="1" x14ac:dyDescent="0.3">
      <c r="A28" s="678">
        <v>5</v>
      </c>
      <c r="B28" s="679">
        <v>37452675</v>
      </c>
      <c r="C28" s="679">
        <v>7607</v>
      </c>
      <c r="D28" s="680">
        <v>1.1000000000000001</v>
      </c>
      <c r="E28" s="680">
        <v>3.9</v>
      </c>
    </row>
    <row r="29" spans="1:6" ht="16.5" customHeight="1" x14ac:dyDescent="0.3">
      <c r="A29" s="678">
        <v>6</v>
      </c>
      <c r="B29" s="682">
        <v>37558585</v>
      </c>
      <c r="C29" s="682">
        <v>7598.7</v>
      </c>
      <c r="D29" s="683">
        <v>1.1000000000000001</v>
      </c>
      <c r="E29" s="683">
        <v>3.9</v>
      </c>
    </row>
    <row r="30" spans="1:6" ht="16.5" customHeight="1" x14ac:dyDescent="0.3">
      <c r="A30" s="684" t="s">
        <v>18</v>
      </c>
      <c r="B30" s="685">
        <f>AVERAGE(B24:B29)</f>
        <v>37533424.833333336</v>
      </c>
      <c r="C30" s="686">
        <f>AVERAGE(C24:C29)</f>
        <v>7635.75</v>
      </c>
      <c r="D30" s="687">
        <f>AVERAGE(D24:D29)</f>
        <v>1.0999999999999999</v>
      </c>
      <c r="E30" s="687">
        <f>AVERAGE(E24:E29)</f>
        <v>3.9</v>
      </c>
    </row>
    <row r="31" spans="1:6" ht="16.5" customHeight="1" x14ac:dyDescent="0.3">
      <c r="A31" s="688" t="s">
        <v>19</v>
      </c>
      <c r="B31" s="689">
        <f>(STDEV(B24:B29)/B30)</f>
        <v>1.155100620397012E-3</v>
      </c>
      <c r="C31" s="690"/>
      <c r="D31" s="690"/>
      <c r="E31" s="691"/>
      <c r="F31" s="692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2"/>
    </row>
    <row r="33" spans="1:6" s="664" customFormat="1" ht="15.75" customHeight="1" x14ac:dyDescent="0.25">
      <c r="A33" s="672"/>
      <c r="B33" s="672"/>
      <c r="C33" s="672"/>
      <c r="D33" s="672"/>
      <c r="E33" s="672"/>
      <c r="F33" s="672"/>
    </row>
    <row r="34" spans="1:6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  <c r="F34" s="699"/>
    </row>
    <row r="35" spans="1:6" ht="16.5" customHeight="1" x14ac:dyDescent="0.3">
      <c r="A35" s="673"/>
      <c r="B35" s="698" t="s">
        <v>23</v>
      </c>
      <c r="C35" s="699"/>
      <c r="D35" s="699"/>
      <c r="E35" s="699"/>
      <c r="F35" s="699"/>
    </row>
    <row r="36" spans="1:6" ht="16.5" customHeight="1" x14ac:dyDescent="0.3">
      <c r="A36" s="673"/>
      <c r="B36" s="698" t="s">
        <v>24</v>
      </c>
      <c r="C36" s="699"/>
      <c r="D36" s="699"/>
      <c r="E36" s="699"/>
      <c r="F36" s="699"/>
    </row>
    <row r="37" spans="1:6" ht="15.75" customHeight="1" x14ac:dyDescent="0.25">
      <c r="A37" s="672"/>
      <c r="B37" s="672"/>
      <c r="C37" s="672"/>
      <c r="D37" s="672"/>
      <c r="E37" s="672"/>
      <c r="F37" s="672"/>
    </row>
    <row r="38" spans="1:6" ht="16.5" customHeight="1" x14ac:dyDescent="0.3">
      <c r="A38" s="668" t="s">
        <v>1</v>
      </c>
      <c r="B38" s="669" t="s">
        <v>25</v>
      </c>
    </row>
    <row r="39" spans="1:6" ht="16.5" customHeight="1" x14ac:dyDescent="0.3">
      <c r="A39" s="673" t="s">
        <v>4</v>
      </c>
      <c r="B39" s="670"/>
      <c r="C39" s="672"/>
      <c r="D39" s="672"/>
      <c r="E39" s="672"/>
      <c r="F39" s="672"/>
    </row>
    <row r="40" spans="1:6" ht="16.5" customHeight="1" x14ac:dyDescent="0.3">
      <c r="A40" s="673" t="s">
        <v>6</v>
      </c>
      <c r="B40" s="674"/>
      <c r="C40" s="672"/>
      <c r="D40" s="672"/>
      <c r="E40" s="672"/>
      <c r="F40" s="672"/>
    </row>
    <row r="41" spans="1:6" ht="16.5" customHeight="1" x14ac:dyDescent="0.3">
      <c r="A41" s="670" t="s">
        <v>8</v>
      </c>
      <c r="B41" s="674"/>
      <c r="C41" s="672"/>
      <c r="D41" s="672"/>
      <c r="E41" s="672"/>
      <c r="F41" s="672"/>
    </row>
    <row r="42" spans="1:6" ht="16.5" customHeight="1" x14ac:dyDescent="0.3">
      <c r="A42" s="670" t="s">
        <v>10</v>
      </c>
      <c r="B42" s="675"/>
      <c r="C42" s="672"/>
      <c r="D42" s="672"/>
      <c r="E42" s="672"/>
      <c r="F42" s="672"/>
    </row>
    <row r="43" spans="1:6" ht="15.75" customHeight="1" x14ac:dyDescent="0.25">
      <c r="A43" s="672"/>
      <c r="B43" s="672"/>
      <c r="C43" s="672"/>
      <c r="D43" s="672"/>
      <c r="E43" s="672"/>
      <c r="F43" s="672"/>
    </row>
    <row r="44" spans="1:6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  <c r="F44" s="700"/>
    </row>
    <row r="45" spans="1:6" ht="16.5" customHeight="1" x14ac:dyDescent="0.3">
      <c r="A45" s="678">
        <v>1</v>
      </c>
      <c r="B45" s="679"/>
      <c r="C45" s="679"/>
      <c r="D45" s="680"/>
      <c r="E45" s="681"/>
      <c r="F45" s="701"/>
    </row>
    <row r="46" spans="1:6" ht="16.5" customHeight="1" x14ac:dyDescent="0.3">
      <c r="A46" s="678">
        <v>2</v>
      </c>
      <c r="B46" s="679"/>
      <c r="C46" s="679"/>
      <c r="D46" s="680"/>
      <c r="E46" s="680"/>
      <c r="F46" s="701"/>
    </row>
    <row r="47" spans="1:6" ht="16.5" customHeight="1" x14ac:dyDescent="0.3">
      <c r="A47" s="678">
        <v>3</v>
      </c>
      <c r="B47" s="679"/>
      <c r="C47" s="679"/>
      <c r="D47" s="680"/>
      <c r="E47" s="680"/>
      <c r="F47" s="701"/>
    </row>
    <row r="48" spans="1:6" ht="16.5" customHeight="1" x14ac:dyDescent="0.3">
      <c r="A48" s="678">
        <v>4</v>
      </c>
      <c r="B48" s="679"/>
      <c r="C48" s="679"/>
      <c r="D48" s="680"/>
      <c r="E48" s="680"/>
      <c r="F48" s="701"/>
    </row>
    <row r="49" spans="1:8" ht="16.5" customHeight="1" x14ac:dyDescent="0.3">
      <c r="A49" s="678">
        <v>5</v>
      </c>
      <c r="B49" s="679"/>
      <c r="C49" s="679"/>
      <c r="D49" s="680"/>
      <c r="E49" s="680"/>
      <c r="F49" s="701"/>
    </row>
    <row r="50" spans="1:8" ht="16.5" customHeight="1" x14ac:dyDescent="0.3">
      <c r="A50" s="678">
        <v>6</v>
      </c>
      <c r="B50" s="682"/>
      <c r="C50" s="682"/>
      <c r="D50" s="683"/>
      <c r="E50" s="683"/>
      <c r="F50" s="701"/>
    </row>
    <row r="51" spans="1:8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  <c r="F51" s="702"/>
    </row>
    <row r="52" spans="1:8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  <c r="F52" s="692"/>
    </row>
    <row r="53" spans="1:8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  <c r="F53" s="692"/>
    </row>
    <row r="54" spans="1:8" s="664" customFormat="1" ht="15.75" customHeight="1" x14ac:dyDescent="0.25">
      <c r="A54" s="672"/>
      <c r="B54" s="672"/>
      <c r="C54" s="672"/>
      <c r="D54" s="672"/>
      <c r="E54" s="672"/>
      <c r="F54" s="672"/>
    </row>
    <row r="55" spans="1:8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  <c r="F55" s="699"/>
    </row>
    <row r="56" spans="1:8" ht="16.5" customHeight="1" x14ac:dyDescent="0.3">
      <c r="A56" s="673"/>
      <c r="B56" s="698" t="s">
        <v>23</v>
      </c>
      <c r="C56" s="699"/>
      <c r="D56" s="699"/>
      <c r="E56" s="699"/>
      <c r="F56" s="699"/>
    </row>
    <row r="57" spans="1:8" ht="16.5" customHeight="1" x14ac:dyDescent="0.3">
      <c r="A57" s="673"/>
      <c r="B57" s="698" t="s">
        <v>24</v>
      </c>
      <c r="C57" s="699"/>
      <c r="D57" s="699"/>
      <c r="E57" s="699"/>
      <c r="F57" s="699"/>
    </row>
    <row r="58" spans="1:8" ht="14.25" customHeight="1" thickBot="1" x14ac:dyDescent="0.3">
      <c r="A58" s="703"/>
      <c r="B58" s="704"/>
      <c r="D58" s="705"/>
      <c r="G58" s="706"/>
      <c r="H58" s="706"/>
    </row>
    <row r="59" spans="1:8" ht="15" customHeight="1" x14ac:dyDescent="0.3">
      <c r="B59" s="707" t="s">
        <v>26</v>
      </c>
      <c r="C59" s="707"/>
      <c r="E59" s="708" t="s">
        <v>27</v>
      </c>
      <c r="F59" s="708"/>
      <c r="G59" s="709"/>
      <c r="H59" s="708" t="s">
        <v>28</v>
      </c>
    </row>
    <row r="60" spans="1:8" ht="15" customHeight="1" x14ac:dyDescent="0.3">
      <c r="A60" s="710" t="s">
        <v>29</v>
      </c>
      <c r="B60" s="711"/>
      <c r="C60" s="711"/>
      <c r="E60" s="711"/>
      <c r="F60" s="712"/>
      <c r="H60" s="711"/>
    </row>
    <row r="61" spans="1:8" ht="15" customHeight="1" x14ac:dyDescent="0.3">
      <c r="A61" s="710" t="s">
        <v>30</v>
      </c>
      <c r="B61" s="713"/>
      <c r="C61" s="713"/>
      <c r="E61" s="713"/>
      <c r="F61" s="714"/>
      <c r="H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1"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138</v>
      </c>
      <c r="D17" s="671"/>
      <c r="E17" s="672"/>
    </row>
    <row r="18" spans="1:6" ht="16.5" customHeight="1" x14ac:dyDescent="0.3">
      <c r="A18" s="673" t="s">
        <v>4</v>
      </c>
      <c r="B18" s="670" t="str">
        <f>'SST Lamivudine'!B18</f>
        <v>NDQB201707057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99.65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29.6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0.29599999999999999</v>
      </c>
      <c r="C21" s="672"/>
      <c r="D21" s="672"/>
      <c r="E21" s="672"/>
    </row>
    <row r="22" spans="1:6" ht="15.75" customHeight="1" x14ac:dyDescent="0.25">
      <c r="A22" s="672"/>
      <c r="B22" s="672" t="s">
        <v>139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140</v>
      </c>
    </row>
    <row r="24" spans="1:6" ht="16.5" customHeight="1" x14ac:dyDescent="0.3">
      <c r="A24" s="678">
        <v>1</v>
      </c>
      <c r="B24" s="679">
        <v>67003804</v>
      </c>
      <c r="C24" s="679">
        <v>8793.2999999999993</v>
      </c>
      <c r="D24" s="680">
        <v>1.1000000000000001</v>
      </c>
      <c r="E24" s="681">
        <v>5.7</v>
      </c>
      <c r="F24" s="681">
        <v>5.7</v>
      </c>
    </row>
    <row r="25" spans="1:6" ht="16.5" customHeight="1" x14ac:dyDescent="0.3">
      <c r="A25" s="678">
        <v>2</v>
      </c>
      <c r="B25" s="679">
        <v>66917929</v>
      </c>
      <c r="C25" s="679">
        <v>8809.2999999999993</v>
      </c>
      <c r="D25" s="680">
        <v>1.1000000000000001</v>
      </c>
      <c r="E25" s="680">
        <v>5.7</v>
      </c>
      <c r="F25" s="680">
        <v>5.7</v>
      </c>
    </row>
    <row r="26" spans="1:6" ht="16.5" customHeight="1" x14ac:dyDescent="0.3">
      <c r="A26" s="678">
        <v>3</v>
      </c>
      <c r="B26" s="679">
        <v>66974919</v>
      </c>
      <c r="C26" s="679">
        <v>8778.2999999999993</v>
      </c>
      <c r="D26" s="680">
        <v>1.1000000000000001</v>
      </c>
      <c r="E26" s="680">
        <v>5.7</v>
      </c>
      <c r="F26" s="680">
        <v>5.7</v>
      </c>
    </row>
    <row r="27" spans="1:6" ht="16.5" customHeight="1" x14ac:dyDescent="0.3">
      <c r="A27" s="678">
        <v>4</v>
      </c>
      <c r="B27" s="679">
        <v>67001546</v>
      </c>
      <c r="C27" s="679">
        <v>8787.7999999999993</v>
      </c>
      <c r="D27" s="680">
        <v>1.1000000000000001</v>
      </c>
      <c r="E27" s="680">
        <v>5.7</v>
      </c>
      <c r="F27" s="680">
        <v>5.7</v>
      </c>
    </row>
    <row r="28" spans="1:6" ht="16.5" customHeight="1" x14ac:dyDescent="0.3">
      <c r="A28" s="678">
        <v>5</v>
      </c>
      <c r="B28" s="679">
        <v>66815267</v>
      </c>
      <c r="C28" s="679">
        <v>8735.9</v>
      </c>
      <c r="D28" s="680">
        <v>1.1000000000000001</v>
      </c>
      <c r="E28" s="680">
        <v>5.7</v>
      </c>
      <c r="F28" s="680">
        <v>5.7</v>
      </c>
    </row>
    <row r="29" spans="1:6" ht="16.5" customHeight="1" x14ac:dyDescent="0.3">
      <c r="A29" s="678">
        <v>6</v>
      </c>
      <c r="B29" s="682">
        <v>67001712</v>
      </c>
      <c r="C29" s="682">
        <v>8714.5</v>
      </c>
      <c r="D29" s="683">
        <v>1.1000000000000001</v>
      </c>
      <c r="E29" s="683">
        <v>5.7</v>
      </c>
      <c r="F29" s="683">
        <v>5.7</v>
      </c>
    </row>
    <row r="30" spans="1:6" ht="16.5" customHeight="1" x14ac:dyDescent="0.3">
      <c r="A30" s="684" t="s">
        <v>18</v>
      </c>
      <c r="B30" s="685">
        <f>AVERAGE(B24:B29)</f>
        <v>66952529.5</v>
      </c>
      <c r="C30" s="686">
        <f>AVERAGE(C24:C29)</f>
        <v>8769.85</v>
      </c>
      <c r="D30" s="687">
        <f>AVERAGE(D24:D29)</f>
        <v>1.0999999999999999</v>
      </c>
      <c r="E30" s="687">
        <f>AVERAGE(E24:E29)</f>
        <v>5.7</v>
      </c>
      <c r="F30" s="687">
        <f>AVERAGE(F24:F29)</f>
        <v>5.7</v>
      </c>
    </row>
    <row r="31" spans="1:6" ht="16.5" customHeight="1" x14ac:dyDescent="0.3">
      <c r="A31" s="688" t="s">
        <v>19</v>
      </c>
      <c r="B31" s="689">
        <f>(STDEV(B24:B29)/B30)</f>
        <v>1.1175067148189713E-3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141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19" sqref="B19"/>
    </sheetView>
  </sheetViews>
  <sheetFormatPr defaultRowHeight="13.5" x14ac:dyDescent="0.25"/>
  <cols>
    <col min="1" max="1" width="27.5703125" style="664" customWidth="1"/>
    <col min="2" max="2" width="20.42578125" style="664" customWidth="1"/>
    <col min="3" max="3" width="31.85546875" style="664" customWidth="1"/>
    <col min="4" max="4" width="25.85546875" style="664" customWidth="1"/>
    <col min="5" max="5" width="25.7109375" style="664" customWidth="1"/>
    <col min="6" max="6" width="23.140625" style="664" customWidth="1"/>
    <col min="7" max="7" width="28.42578125" style="664" customWidth="1"/>
    <col min="8" max="8" width="21.5703125" style="664" customWidth="1"/>
    <col min="9" max="9" width="9.140625" style="664" customWidth="1"/>
    <col min="10" max="16384" width="9.140625" style="706"/>
  </cols>
  <sheetData>
    <row r="14" spans="1:6" ht="15" customHeight="1" x14ac:dyDescent="0.3">
      <c r="A14" s="663"/>
      <c r="C14" s="665"/>
      <c r="F14" s="665"/>
    </row>
    <row r="15" spans="1:6" ht="18.75" customHeight="1" x14ac:dyDescent="0.3">
      <c r="A15" s="666" t="s">
        <v>0</v>
      </c>
      <c r="B15" s="666"/>
      <c r="C15" s="666"/>
      <c r="D15" s="666"/>
      <c r="E15" s="666"/>
    </row>
    <row r="16" spans="1:6" ht="16.5" customHeight="1" x14ac:dyDescent="0.3">
      <c r="A16" s="668" t="s">
        <v>1</v>
      </c>
      <c r="B16" s="669" t="s">
        <v>2</v>
      </c>
    </row>
    <row r="17" spans="1:6" ht="16.5" customHeight="1" x14ac:dyDescent="0.3">
      <c r="A17" s="670" t="s">
        <v>3</v>
      </c>
      <c r="B17" s="670" t="s">
        <v>138</v>
      </c>
      <c r="D17" s="671"/>
      <c r="E17" s="672"/>
    </row>
    <row r="18" spans="1:6" ht="16.5" customHeight="1" x14ac:dyDescent="0.3">
      <c r="A18" s="673" t="s">
        <v>4</v>
      </c>
      <c r="B18" s="670" t="str">
        <f>'SST Zidovudine'!B18</f>
        <v>NDQB201707057</v>
      </c>
      <c r="C18" s="672"/>
      <c r="D18" s="672"/>
      <c r="E18" s="672"/>
    </row>
    <row r="19" spans="1:6" ht="16.5" customHeight="1" x14ac:dyDescent="0.3">
      <c r="A19" s="673" t="s">
        <v>6</v>
      </c>
      <c r="B19" s="674">
        <v>99.7</v>
      </c>
      <c r="C19" s="672"/>
      <c r="D19" s="672"/>
      <c r="E19" s="672"/>
    </row>
    <row r="20" spans="1:6" ht="16.5" customHeight="1" x14ac:dyDescent="0.3">
      <c r="A20" s="670" t="s">
        <v>8</v>
      </c>
      <c r="B20" s="674">
        <v>19.04</v>
      </c>
      <c r="C20" s="672"/>
      <c r="D20" s="672"/>
      <c r="E20" s="672"/>
    </row>
    <row r="21" spans="1:6" ht="16.5" customHeight="1" x14ac:dyDescent="0.3">
      <c r="A21" s="670" t="s">
        <v>10</v>
      </c>
      <c r="B21" s="675">
        <v>0.19039999999999999</v>
      </c>
      <c r="C21" s="672"/>
      <c r="D21" s="672"/>
      <c r="E21" s="672"/>
    </row>
    <row r="22" spans="1:6" ht="15.75" customHeight="1" x14ac:dyDescent="0.25">
      <c r="A22" s="672"/>
      <c r="B22" s="672" t="s">
        <v>142</v>
      </c>
      <c r="C22" s="672"/>
      <c r="D22" s="672"/>
      <c r="E22" s="672"/>
    </row>
    <row r="23" spans="1:6" ht="16.5" customHeight="1" x14ac:dyDescent="0.3">
      <c r="A23" s="676" t="s">
        <v>13</v>
      </c>
      <c r="B23" s="677" t="s">
        <v>14</v>
      </c>
      <c r="C23" s="676" t="s">
        <v>15</v>
      </c>
      <c r="D23" s="676" t="s">
        <v>16</v>
      </c>
      <c r="E23" s="676" t="s">
        <v>17</v>
      </c>
      <c r="F23" s="676" t="s">
        <v>140</v>
      </c>
    </row>
    <row r="24" spans="1:6" ht="16.5" customHeight="1" x14ac:dyDescent="0.3">
      <c r="A24" s="678">
        <v>1</v>
      </c>
      <c r="B24" s="679">
        <v>32025323</v>
      </c>
      <c r="C24" s="679">
        <v>8990.6</v>
      </c>
      <c r="D24" s="680">
        <v>1</v>
      </c>
      <c r="E24" s="681">
        <v>10.3</v>
      </c>
      <c r="F24" s="681">
        <v>13.8</v>
      </c>
    </row>
    <row r="25" spans="1:6" ht="16.5" customHeight="1" x14ac:dyDescent="0.3">
      <c r="A25" s="678">
        <v>2</v>
      </c>
      <c r="B25" s="679">
        <v>31978064</v>
      </c>
      <c r="C25" s="679">
        <v>8990.5</v>
      </c>
      <c r="D25" s="680">
        <v>1</v>
      </c>
      <c r="E25" s="680">
        <v>10.4</v>
      </c>
      <c r="F25" s="680">
        <v>13.8</v>
      </c>
    </row>
    <row r="26" spans="1:6" ht="16.5" customHeight="1" x14ac:dyDescent="0.3">
      <c r="A26" s="678">
        <v>3</v>
      </c>
      <c r="B26" s="679">
        <v>32006635</v>
      </c>
      <c r="C26" s="679">
        <v>8991.2000000000007</v>
      </c>
      <c r="D26" s="680">
        <v>1</v>
      </c>
      <c r="E26" s="680">
        <v>10.4</v>
      </c>
      <c r="F26" s="680">
        <v>13.8</v>
      </c>
    </row>
    <row r="27" spans="1:6" ht="16.5" customHeight="1" x14ac:dyDescent="0.3">
      <c r="A27" s="678">
        <v>4</v>
      </c>
      <c r="B27" s="679">
        <v>32017733</v>
      </c>
      <c r="C27" s="679">
        <v>8971.6</v>
      </c>
      <c r="D27" s="680">
        <v>1</v>
      </c>
      <c r="E27" s="680">
        <v>10.4</v>
      </c>
      <c r="F27" s="680">
        <v>13.8</v>
      </c>
    </row>
    <row r="28" spans="1:6" ht="16.5" customHeight="1" x14ac:dyDescent="0.3">
      <c r="A28" s="678">
        <v>5</v>
      </c>
      <c r="B28" s="679">
        <v>31924453</v>
      </c>
      <c r="C28" s="679">
        <v>8966.6</v>
      </c>
      <c r="D28" s="680">
        <v>1</v>
      </c>
      <c r="E28" s="680">
        <v>10.4</v>
      </c>
      <c r="F28" s="680">
        <v>13.8</v>
      </c>
    </row>
    <row r="29" spans="1:6" ht="16.5" customHeight="1" x14ac:dyDescent="0.3">
      <c r="A29" s="678">
        <v>6</v>
      </c>
      <c r="B29" s="682">
        <v>32019642</v>
      </c>
      <c r="C29" s="682">
        <v>8970.2000000000007</v>
      </c>
      <c r="D29" s="683">
        <v>1</v>
      </c>
      <c r="E29" s="683">
        <v>10.4</v>
      </c>
      <c r="F29" s="683">
        <v>13.8</v>
      </c>
    </row>
    <row r="30" spans="1:6" ht="16.5" customHeight="1" x14ac:dyDescent="0.3">
      <c r="A30" s="684" t="s">
        <v>18</v>
      </c>
      <c r="B30" s="685">
        <f>AVERAGE(B24:B29)</f>
        <v>31995308.333333332</v>
      </c>
      <c r="C30" s="686">
        <f>AVERAGE(C24:C29)</f>
        <v>8980.1166666666668</v>
      </c>
      <c r="D30" s="687">
        <f>AVERAGE(D24:D29)</f>
        <v>1</v>
      </c>
      <c r="E30" s="687">
        <f>AVERAGE(E24:E29)</f>
        <v>10.383333333333333</v>
      </c>
      <c r="F30" s="687">
        <f>AVERAGE(F24:F29)</f>
        <v>13.799999999999999</v>
      </c>
    </row>
    <row r="31" spans="1:6" ht="16.5" customHeight="1" x14ac:dyDescent="0.3">
      <c r="A31" s="688" t="s">
        <v>19</v>
      </c>
      <c r="B31" s="689">
        <f>(STDEV(B24:B29)/B30)</f>
        <v>1.2057961087663565E-3</v>
      </c>
      <c r="C31" s="690"/>
      <c r="D31" s="690"/>
      <c r="E31" s="691"/>
      <c r="F31" s="691"/>
    </row>
    <row r="32" spans="1:6" s="664" customFormat="1" ht="16.5" customHeight="1" x14ac:dyDescent="0.3">
      <c r="A32" s="693" t="s">
        <v>20</v>
      </c>
      <c r="B32" s="694">
        <f>COUNT(B24:B29)</f>
        <v>6</v>
      </c>
      <c r="C32" s="695"/>
      <c r="D32" s="696"/>
      <c r="E32" s="697"/>
      <c r="F32" s="697"/>
    </row>
    <row r="33" spans="1:5" s="664" customFormat="1" ht="15.75" customHeight="1" x14ac:dyDescent="0.25">
      <c r="A33" s="672"/>
      <c r="B33" s="672"/>
      <c r="C33" s="672"/>
      <c r="D33" s="672"/>
      <c r="E33" s="672"/>
    </row>
    <row r="34" spans="1:5" s="664" customFormat="1" ht="16.5" customHeight="1" x14ac:dyDescent="0.3">
      <c r="A34" s="673" t="s">
        <v>21</v>
      </c>
      <c r="B34" s="698" t="s">
        <v>22</v>
      </c>
      <c r="C34" s="699"/>
      <c r="D34" s="699"/>
      <c r="E34" s="699"/>
    </row>
    <row r="35" spans="1:5" ht="16.5" customHeight="1" x14ac:dyDescent="0.3">
      <c r="A35" s="673"/>
      <c r="B35" s="698" t="s">
        <v>23</v>
      </c>
      <c r="C35" s="699"/>
      <c r="D35" s="699"/>
      <c r="E35" s="699"/>
    </row>
    <row r="36" spans="1:5" ht="16.5" customHeight="1" x14ac:dyDescent="0.3">
      <c r="A36" s="673"/>
      <c r="B36" s="698" t="s">
        <v>24</v>
      </c>
      <c r="C36" s="699"/>
      <c r="D36" s="699"/>
      <c r="E36" s="699"/>
    </row>
    <row r="37" spans="1:5" ht="15.75" customHeight="1" x14ac:dyDescent="0.3">
      <c r="A37" s="672"/>
      <c r="B37" s="672" t="s">
        <v>143</v>
      </c>
      <c r="C37" s="672"/>
      <c r="D37" s="672"/>
      <c r="E37" s="672"/>
    </row>
    <row r="38" spans="1:5" ht="16.5" customHeight="1" x14ac:dyDescent="0.3">
      <c r="A38" s="668" t="s">
        <v>1</v>
      </c>
      <c r="B38" s="669" t="s">
        <v>25</v>
      </c>
    </row>
    <row r="39" spans="1:5" ht="16.5" customHeight="1" x14ac:dyDescent="0.3">
      <c r="A39" s="673" t="s">
        <v>4</v>
      </c>
      <c r="B39" s="670"/>
      <c r="C39" s="672"/>
      <c r="D39" s="672"/>
      <c r="E39" s="672"/>
    </row>
    <row r="40" spans="1:5" ht="16.5" customHeight="1" x14ac:dyDescent="0.3">
      <c r="A40" s="673" t="s">
        <v>6</v>
      </c>
      <c r="B40" s="674"/>
      <c r="C40" s="672"/>
      <c r="D40" s="672"/>
      <c r="E40" s="672"/>
    </row>
    <row r="41" spans="1:5" ht="16.5" customHeight="1" x14ac:dyDescent="0.3">
      <c r="A41" s="670" t="s">
        <v>8</v>
      </c>
      <c r="B41" s="674"/>
      <c r="C41" s="672"/>
      <c r="D41" s="672"/>
      <c r="E41" s="672"/>
    </row>
    <row r="42" spans="1:5" ht="16.5" customHeight="1" x14ac:dyDescent="0.3">
      <c r="A42" s="670" t="s">
        <v>10</v>
      </c>
      <c r="B42" s="675"/>
      <c r="C42" s="672"/>
      <c r="D42" s="672"/>
      <c r="E42" s="672"/>
    </row>
    <row r="43" spans="1:5" ht="15.75" customHeight="1" x14ac:dyDescent="0.25">
      <c r="A43" s="672"/>
      <c r="B43" s="672"/>
      <c r="C43" s="672"/>
      <c r="D43" s="672"/>
      <c r="E43" s="672"/>
    </row>
    <row r="44" spans="1:5" ht="16.5" customHeight="1" x14ac:dyDescent="0.3">
      <c r="A44" s="676" t="s">
        <v>13</v>
      </c>
      <c r="B44" s="677" t="s">
        <v>14</v>
      </c>
      <c r="C44" s="676" t="s">
        <v>15</v>
      </c>
      <c r="D44" s="676" t="s">
        <v>16</v>
      </c>
      <c r="E44" s="676" t="s">
        <v>17</v>
      </c>
    </row>
    <row r="45" spans="1:5" ht="16.5" customHeight="1" x14ac:dyDescent="0.3">
      <c r="A45" s="678">
        <v>1</v>
      </c>
      <c r="B45" s="679"/>
      <c r="C45" s="679"/>
      <c r="D45" s="680"/>
      <c r="E45" s="681"/>
    </row>
    <row r="46" spans="1:5" ht="16.5" customHeight="1" x14ac:dyDescent="0.3">
      <c r="A46" s="678">
        <v>2</v>
      </c>
      <c r="B46" s="679"/>
      <c r="C46" s="679"/>
      <c r="D46" s="680"/>
      <c r="E46" s="680"/>
    </row>
    <row r="47" spans="1:5" ht="16.5" customHeight="1" x14ac:dyDescent="0.3">
      <c r="A47" s="678">
        <v>3</v>
      </c>
      <c r="B47" s="679"/>
      <c r="C47" s="679"/>
      <c r="D47" s="680"/>
      <c r="E47" s="680"/>
    </row>
    <row r="48" spans="1:5" ht="16.5" customHeight="1" x14ac:dyDescent="0.3">
      <c r="A48" s="678">
        <v>4</v>
      </c>
      <c r="B48" s="679"/>
      <c r="C48" s="679"/>
      <c r="D48" s="680"/>
      <c r="E48" s="680"/>
    </row>
    <row r="49" spans="1:7" ht="16.5" customHeight="1" x14ac:dyDescent="0.3">
      <c r="A49" s="678">
        <v>5</v>
      </c>
      <c r="B49" s="679"/>
      <c r="C49" s="679"/>
      <c r="D49" s="680"/>
      <c r="E49" s="680"/>
    </row>
    <row r="50" spans="1:7" ht="16.5" customHeight="1" x14ac:dyDescent="0.3">
      <c r="A50" s="678">
        <v>6</v>
      </c>
      <c r="B50" s="682"/>
      <c r="C50" s="682"/>
      <c r="D50" s="683"/>
      <c r="E50" s="683"/>
    </row>
    <row r="51" spans="1:7" ht="16.5" customHeight="1" x14ac:dyDescent="0.3">
      <c r="A51" s="684" t="s">
        <v>18</v>
      </c>
      <c r="B51" s="685" t="e">
        <f>AVERAGE(B45:B50)</f>
        <v>#DIV/0!</v>
      </c>
      <c r="C51" s="686" t="e">
        <f>AVERAGE(C45:C50)</f>
        <v>#DIV/0!</v>
      </c>
      <c r="D51" s="687" t="e">
        <f>AVERAGE(D45:D50)</f>
        <v>#DIV/0!</v>
      </c>
      <c r="E51" s="687" t="e">
        <f>AVERAGE(E45:E50)</f>
        <v>#DIV/0!</v>
      </c>
    </row>
    <row r="52" spans="1:7" ht="16.5" customHeight="1" x14ac:dyDescent="0.3">
      <c r="A52" s="688" t="s">
        <v>19</v>
      </c>
      <c r="B52" s="689" t="e">
        <f>(STDEV(B45:B50)/B51)</f>
        <v>#DIV/0!</v>
      </c>
      <c r="C52" s="690"/>
      <c r="D52" s="690"/>
      <c r="E52" s="691"/>
    </row>
    <row r="53" spans="1:7" s="664" customFormat="1" ht="16.5" customHeight="1" x14ac:dyDescent="0.3">
      <c r="A53" s="693" t="s">
        <v>20</v>
      </c>
      <c r="B53" s="694">
        <f>COUNT(B45:B50)</f>
        <v>0</v>
      </c>
      <c r="C53" s="695"/>
      <c r="D53" s="696"/>
      <c r="E53" s="697"/>
    </row>
    <row r="54" spans="1:7" s="664" customFormat="1" ht="15.75" customHeight="1" x14ac:dyDescent="0.25">
      <c r="A54" s="672"/>
      <c r="B54" s="672"/>
      <c r="C54" s="672"/>
      <c r="D54" s="672"/>
      <c r="E54" s="672"/>
    </row>
    <row r="55" spans="1:7" s="664" customFormat="1" ht="16.5" customHeight="1" x14ac:dyDescent="0.3">
      <c r="A55" s="673" t="s">
        <v>21</v>
      </c>
      <c r="B55" s="698" t="s">
        <v>22</v>
      </c>
      <c r="C55" s="699"/>
      <c r="D55" s="699"/>
      <c r="E55" s="699"/>
    </row>
    <row r="56" spans="1:7" ht="16.5" customHeight="1" x14ac:dyDescent="0.3">
      <c r="A56" s="673"/>
      <c r="B56" s="698" t="s">
        <v>23</v>
      </c>
      <c r="C56" s="699"/>
      <c r="D56" s="699"/>
      <c r="E56" s="699"/>
    </row>
    <row r="57" spans="1:7" ht="16.5" customHeight="1" x14ac:dyDescent="0.3">
      <c r="A57" s="673"/>
      <c r="B57" s="698" t="s">
        <v>24</v>
      </c>
      <c r="C57" s="699"/>
      <c r="D57" s="699"/>
      <c r="E57" s="699"/>
    </row>
    <row r="58" spans="1:7" ht="14.25" customHeight="1" thickBot="1" x14ac:dyDescent="0.3">
      <c r="A58" s="703"/>
      <c r="B58" s="704"/>
      <c r="D58" s="705"/>
      <c r="F58" s="706"/>
      <c r="G58" s="706"/>
    </row>
    <row r="59" spans="1:7" ht="15" customHeight="1" x14ac:dyDescent="0.3">
      <c r="B59" s="707" t="s">
        <v>26</v>
      </c>
      <c r="C59" s="707"/>
      <c r="E59" s="708" t="s">
        <v>27</v>
      </c>
      <c r="F59" s="709"/>
      <c r="G59" s="708" t="s">
        <v>28</v>
      </c>
    </row>
    <row r="60" spans="1:7" ht="15" customHeight="1" x14ac:dyDescent="0.3">
      <c r="A60" s="710" t="s">
        <v>29</v>
      </c>
      <c r="B60" s="711"/>
      <c r="C60" s="711"/>
      <c r="E60" s="711"/>
      <c r="G60" s="711"/>
    </row>
    <row r="61" spans="1:7" ht="15" customHeight="1" x14ac:dyDescent="0.3">
      <c r="A61" s="710" t="s">
        <v>30</v>
      </c>
      <c r="B61" s="713"/>
      <c r="C61" s="713"/>
      <c r="E61" s="713"/>
      <c r="G61" s="715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25" workbookViewId="0">
      <selection activeCell="D44" sqref="D4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17" t="s">
        <v>31</v>
      </c>
      <c r="B11" s="618"/>
      <c r="C11" s="618"/>
      <c r="D11" s="618"/>
      <c r="E11" s="618"/>
      <c r="F11" s="619"/>
      <c r="G11" s="43"/>
    </row>
    <row r="12" spans="1:7" ht="16.5" customHeight="1" x14ac:dyDescent="0.3">
      <c r="A12" s="616" t="s">
        <v>32</v>
      </c>
      <c r="B12" s="616"/>
      <c r="C12" s="616"/>
      <c r="D12" s="616"/>
      <c r="E12" s="616"/>
      <c r="F12" s="616"/>
      <c r="G12" s="42"/>
    </row>
    <row r="14" spans="1:7" ht="16.5" customHeight="1" x14ac:dyDescent="0.3">
      <c r="A14" s="621" t="s">
        <v>33</v>
      </c>
      <c r="B14" s="621"/>
      <c r="C14" s="12" t="s">
        <v>5</v>
      </c>
    </row>
    <row r="15" spans="1:7" ht="16.5" customHeight="1" x14ac:dyDescent="0.3">
      <c r="A15" s="621" t="s">
        <v>34</v>
      </c>
      <c r="B15" s="621"/>
      <c r="C15" s="12" t="s">
        <v>7</v>
      </c>
    </row>
    <row r="16" spans="1:7" ht="16.5" customHeight="1" x14ac:dyDescent="0.3">
      <c r="A16" s="621" t="s">
        <v>35</v>
      </c>
      <c r="B16" s="621"/>
      <c r="C16" s="12" t="s">
        <v>9</v>
      </c>
    </row>
    <row r="17" spans="1:5" ht="16.5" customHeight="1" x14ac:dyDescent="0.3">
      <c r="A17" s="621" t="s">
        <v>36</v>
      </c>
      <c r="B17" s="621"/>
      <c r="C17" s="12" t="s">
        <v>11</v>
      </c>
    </row>
    <row r="18" spans="1:5" ht="16.5" customHeight="1" x14ac:dyDescent="0.3">
      <c r="A18" s="621" t="s">
        <v>37</v>
      </c>
      <c r="B18" s="621"/>
      <c r="C18" s="49" t="s">
        <v>12</v>
      </c>
    </row>
    <row r="19" spans="1:5" ht="16.5" customHeight="1" x14ac:dyDescent="0.3">
      <c r="A19" s="621" t="s">
        <v>38</v>
      </c>
      <c r="B19" s="621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16" t="s">
        <v>1</v>
      </c>
      <c r="B21" s="616"/>
      <c r="C21" s="11" t="s">
        <v>39</v>
      </c>
      <c r="D21" s="18"/>
    </row>
    <row r="22" spans="1:5" ht="15.75" customHeight="1" x14ac:dyDescent="0.3">
      <c r="A22" s="620"/>
      <c r="B22" s="620"/>
      <c r="C22" s="9"/>
      <c r="D22" s="620"/>
      <c r="E22" s="620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1120.02</v>
      </c>
      <c r="D24" s="39">
        <f t="shared" ref="D24:D43" si="0">(C24-$C$46)/$C$46</f>
        <v>-8.1924497341869084E-3</v>
      </c>
      <c r="E24" s="5"/>
    </row>
    <row r="25" spans="1:5" ht="15.75" customHeight="1" x14ac:dyDescent="0.3">
      <c r="C25" s="47">
        <v>1101.6300000000001</v>
      </c>
      <c r="D25" s="40">
        <f t="shared" si="0"/>
        <v>-2.4477284691944965E-2</v>
      </c>
      <c r="E25" s="5"/>
    </row>
    <row r="26" spans="1:5" ht="15.75" customHeight="1" x14ac:dyDescent="0.3">
      <c r="C26" s="47">
        <v>1136.76</v>
      </c>
      <c r="D26" s="40">
        <f t="shared" si="0"/>
        <v>6.631266263250387E-3</v>
      </c>
      <c r="E26" s="5"/>
    </row>
    <row r="27" spans="1:5" ht="15.75" customHeight="1" x14ac:dyDescent="0.3">
      <c r="C27" s="47">
        <v>1134.05</v>
      </c>
      <c r="D27" s="40">
        <f t="shared" si="0"/>
        <v>4.2314890617536375E-3</v>
      </c>
      <c r="E27" s="5"/>
    </row>
    <row r="28" spans="1:5" ht="15.75" customHeight="1" x14ac:dyDescent="0.3">
      <c r="C28" s="47">
        <v>1138.52</v>
      </c>
      <c r="D28" s="40">
        <f t="shared" si="0"/>
        <v>8.1897931542593179E-3</v>
      </c>
      <c r="E28" s="5"/>
    </row>
    <row r="29" spans="1:5" ht="15.75" customHeight="1" x14ac:dyDescent="0.3">
      <c r="C29" s="47">
        <v>1126.01</v>
      </c>
      <c r="D29" s="40">
        <f t="shared" si="0"/>
        <v>-2.8881451449007988E-3</v>
      </c>
      <c r="E29" s="5"/>
    </row>
    <row r="30" spans="1:5" ht="15.75" customHeight="1" x14ac:dyDescent="0.3">
      <c r="C30" s="47">
        <v>1137.98</v>
      </c>
      <c r="D30" s="40">
        <f t="shared" si="0"/>
        <v>7.711608767245243E-3</v>
      </c>
      <c r="E30" s="5"/>
    </row>
    <row r="31" spans="1:5" ht="15.75" customHeight="1" x14ac:dyDescent="0.3">
      <c r="C31" s="47">
        <v>1122.8900000000001</v>
      </c>
      <c r="D31" s="40">
        <f t="shared" si="0"/>
        <v>-5.6509882698710925E-3</v>
      </c>
      <c r="E31" s="5"/>
    </row>
    <row r="32" spans="1:5" ht="15.75" customHeight="1" x14ac:dyDescent="0.3">
      <c r="C32" s="47">
        <v>1125.08</v>
      </c>
      <c r="D32" s="40">
        <f t="shared" si="0"/>
        <v>-3.7116849225362599E-3</v>
      </c>
      <c r="E32" s="5"/>
    </row>
    <row r="33" spans="1:7" ht="15.75" customHeight="1" x14ac:dyDescent="0.3">
      <c r="C33" s="47">
        <v>1124.51</v>
      </c>
      <c r="D33" s="40">
        <f t="shared" si="0"/>
        <v>-4.2164351088288714E-3</v>
      </c>
      <c r="E33" s="5"/>
    </row>
    <row r="34" spans="1:7" ht="15.75" customHeight="1" x14ac:dyDescent="0.3">
      <c r="C34" s="47">
        <v>1140.4100000000001</v>
      </c>
      <c r="D34" s="40">
        <f t="shared" si="0"/>
        <v>9.8634385088087768E-3</v>
      </c>
      <c r="E34" s="5"/>
    </row>
    <row r="35" spans="1:7" ht="15.75" customHeight="1" x14ac:dyDescent="0.3">
      <c r="C35" s="47">
        <v>1126.4100000000001</v>
      </c>
      <c r="D35" s="40">
        <f t="shared" si="0"/>
        <v>-2.533934487853232E-3</v>
      </c>
      <c r="E35" s="5"/>
    </row>
    <row r="36" spans="1:7" ht="15.75" customHeight="1" x14ac:dyDescent="0.3">
      <c r="C36" s="47">
        <v>1132.83</v>
      </c>
      <c r="D36" s="40">
        <f t="shared" si="0"/>
        <v>3.1511465577587811E-3</v>
      </c>
      <c r="E36" s="5"/>
    </row>
    <row r="37" spans="1:7" ht="15.75" customHeight="1" x14ac:dyDescent="0.3">
      <c r="C37" s="47">
        <v>1126.58</v>
      </c>
      <c r="D37" s="40">
        <f t="shared" si="0"/>
        <v>-2.3833949586081877E-3</v>
      </c>
      <c r="E37" s="5"/>
    </row>
    <row r="38" spans="1:7" ht="15.75" customHeight="1" x14ac:dyDescent="0.3">
      <c r="C38" s="47">
        <v>1160.3499999999999</v>
      </c>
      <c r="D38" s="40">
        <f t="shared" si="0"/>
        <v>2.7520839762625801E-2</v>
      </c>
      <c r="E38" s="5"/>
    </row>
    <row r="39" spans="1:7" ht="15.75" customHeight="1" x14ac:dyDescent="0.3">
      <c r="C39" s="47">
        <v>1116.57</v>
      </c>
      <c r="D39" s="40">
        <f t="shared" si="0"/>
        <v>-1.1247516651221517E-2</v>
      </c>
      <c r="E39" s="5"/>
    </row>
    <row r="40" spans="1:7" ht="15.75" customHeight="1" x14ac:dyDescent="0.3">
      <c r="C40" s="47">
        <v>1142.71</v>
      </c>
      <c r="D40" s="40">
        <f t="shared" si="0"/>
        <v>1.1900149786831781E-2</v>
      </c>
      <c r="E40" s="5"/>
    </row>
    <row r="41" spans="1:7" ht="15.75" customHeight="1" x14ac:dyDescent="0.3">
      <c r="C41" s="47">
        <v>1120.8599999999999</v>
      </c>
      <c r="D41" s="40">
        <f t="shared" si="0"/>
        <v>-7.4486073543872612E-3</v>
      </c>
      <c r="E41" s="5"/>
    </row>
    <row r="42" spans="1:7" ht="15.75" customHeight="1" x14ac:dyDescent="0.3">
      <c r="C42" s="47">
        <v>1132.17</v>
      </c>
      <c r="D42" s="40">
        <f t="shared" si="0"/>
        <v>2.5666989736305578E-3</v>
      </c>
      <c r="E42" s="5"/>
    </row>
    <row r="43" spans="1:7" ht="16.5" customHeight="1" x14ac:dyDescent="0.3">
      <c r="C43" s="48">
        <v>1119.0899999999999</v>
      </c>
      <c r="D43" s="41">
        <f t="shared" si="0"/>
        <v>-9.0159895118223712E-3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22585.429999999997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1129.2714999999998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14">
        <f>C46</f>
        <v>1129.2714999999998</v>
      </c>
      <c r="C49" s="45">
        <f>-IF(C46&lt;=80,10%,IF(C46&lt;250,7.5%,5%))</f>
        <v>-0.05</v>
      </c>
      <c r="D49" s="33">
        <f>IF(C46&lt;=80,C46*0.9,IF(C46&lt;250,C46*0.925,C46*0.95))</f>
        <v>1072.8079249999998</v>
      </c>
    </row>
    <row r="50" spans="1:6" ht="17.25" customHeight="1" x14ac:dyDescent="0.3">
      <c r="B50" s="615"/>
      <c r="C50" s="46">
        <f>IF(C46&lt;=80, 10%, IF(C46&lt;250, 7.5%, 5%))</f>
        <v>0.05</v>
      </c>
      <c r="D50" s="33">
        <f>IF(C46&lt;=80, C46*1.1, IF(C46&lt;250, C46*1.075, C46*1.05))</f>
        <v>1185.7350749999998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password="F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7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6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5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4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3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42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41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40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9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8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7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6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5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4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3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32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31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0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9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8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7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103" zoomScale="55" zoomScaleNormal="40" zoomScaleSheetLayoutView="55" zoomScalePageLayoutView="55" workbookViewId="0">
      <selection activeCell="B39" sqref="B39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50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52" t="s">
        <v>33</v>
      </c>
      <c r="B18" s="654" t="s">
        <v>5</v>
      </c>
      <c r="C18" s="654"/>
      <c r="D18" s="198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07">
        <v>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59" t="s">
        <v>135</v>
      </c>
      <c r="C20" s="659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56"/>
    </row>
    <row r="22" spans="1:14" ht="26.25" customHeight="1" x14ac:dyDescent="0.4">
      <c r="A22" s="52" t="s">
        <v>37</v>
      </c>
      <c r="B22" s="57">
        <v>42975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>
        <v>42978</v>
      </c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54" t="s">
        <v>136</v>
      </c>
      <c r="C26" s="654"/>
    </row>
    <row r="27" spans="1:14" ht="26.25" customHeight="1" x14ac:dyDescent="0.4">
      <c r="A27" s="61" t="s">
        <v>48</v>
      </c>
      <c r="B27" s="660" t="s">
        <v>137</v>
      </c>
      <c r="C27" s="660"/>
    </row>
    <row r="28" spans="1:14" ht="27" customHeight="1" x14ac:dyDescent="0.4">
      <c r="A28" s="61" t="s">
        <v>6</v>
      </c>
      <c r="B28" s="62">
        <v>99.39</v>
      </c>
    </row>
    <row r="29" spans="1:14" s="3" customFormat="1" ht="27" customHeight="1" x14ac:dyDescent="0.4">
      <c r="A29" s="61" t="s">
        <v>49</v>
      </c>
      <c r="B29" s="63">
        <v>0</v>
      </c>
      <c r="C29" s="630" t="s">
        <v>50</v>
      </c>
      <c r="D29" s="631"/>
      <c r="E29" s="631"/>
      <c r="F29" s="631"/>
      <c r="G29" s="632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99.39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33" t="s">
        <v>53</v>
      </c>
      <c r="D31" s="634"/>
      <c r="E31" s="634"/>
      <c r="F31" s="634"/>
      <c r="G31" s="634"/>
      <c r="H31" s="635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33" t="s">
        <v>55</v>
      </c>
      <c r="D32" s="634"/>
      <c r="E32" s="634"/>
      <c r="F32" s="634"/>
      <c r="G32" s="634"/>
      <c r="H32" s="635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20</v>
      </c>
      <c r="C36" s="51"/>
      <c r="D36" s="636" t="s">
        <v>59</v>
      </c>
      <c r="E36" s="661"/>
      <c r="F36" s="636" t="s">
        <v>60</v>
      </c>
      <c r="G36" s="637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4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20</v>
      </c>
      <c r="C38" s="83">
        <v>1</v>
      </c>
      <c r="D38" s="84">
        <v>37471617</v>
      </c>
      <c r="E38" s="85">
        <f>IF(ISBLANK(D38),"-",$D$48/$D$45*D38)</f>
        <v>38655088.933815479</v>
      </c>
      <c r="F38" s="84">
        <v>41247300</v>
      </c>
      <c r="G38" s="86">
        <f>IF(ISBLANK(F38),"-",$D$48/$F$45*F38)</f>
        <v>38833860.974903867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89">
        <v>37551505</v>
      </c>
      <c r="E39" s="90">
        <f>IF(ISBLANK(D39),"-",$D$48/$D$45*D39)</f>
        <v>38737500.049000204</v>
      </c>
      <c r="F39" s="89">
        <v>40958430</v>
      </c>
      <c r="G39" s="91">
        <f>IF(ISBLANK(F39),"-",$D$48/$F$45*F39)</f>
        <v>38561893.175318912</v>
      </c>
      <c r="I39" s="638">
        <f>ABS((F43/D43*D42)-F42)/D42</f>
        <v>1.4979321251840593E-3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89">
        <v>37533070</v>
      </c>
      <c r="E40" s="90">
        <f>IF(ISBLANK(D40),"-",$D$48/$D$45*D40)</f>
        <v>38718482.813515142</v>
      </c>
      <c r="F40" s="89">
        <v>41289991</v>
      </c>
      <c r="G40" s="91">
        <f>IF(ISBLANK(F40),"-",$D$48/$F$45*F40)</f>
        <v>38874054.062909134</v>
      </c>
      <c r="I40" s="638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37518730.666666664</v>
      </c>
      <c r="E42" s="100">
        <f>AVERAGE(E38:E41)</f>
        <v>38703690.598776944</v>
      </c>
      <c r="F42" s="99">
        <f>AVERAGE(F38:F41)</f>
        <v>41165240.333333336</v>
      </c>
      <c r="G42" s="101">
        <f>AVERAGE(G38:G41)</f>
        <v>38756602.737710632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104">
        <v>14.63</v>
      </c>
      <c r="E43" s="92"/>
      <c r="F43" s="104">
        <v>16.03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14.63</v>
      </c>
      <c r="E44" s="107"/>
      <c r="F44" s="106">
        <f>F43*$B$34</f>
        <v>16.03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14.540757000000001</v>
      </c>
      <c r="E45" s="110"/>
      <c r="F45" s="109">
        <f>F44*$B$30/100</f>
        <v>15.932217000000001</v>
      </c>
      <c r="H45" s="102"/>
    </row>
    <row r="46" spans="1:14" ht="19.5" customHeight="1" x14ac:dyDescent="0.3">
      <c r="A46" s="624" t="s">
        <v>78</v>
      </c>
      <c r="B46" s="625"/>
      <c r="C46" s="105" t="s">
        <v>79</v>
      </c>
      <c r="D46" s="111">
        <f>D45/$B$45</f>
        <v>0.14540757000000001</v>
      </c>
      <c r="E46" s="112"/>
      <c r="F46" s="113">
        <f>F45/$B$45</f>
        <v>0.15932217000000001</v>
      </c>
      <c r="H46" s="102"/>
    </row>
    <row r="47" spans="1:14" ht="27" customHeight="1" x14ac:dyDescent="0.4">
      <c r="A47" s="626"/>
      <c r="B47" s="627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38730146.668243788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2.9574302755628729E-3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>Each Film Coated Tablet Contains Lamivudine USP 150MG, Nevirapine USP 200MG, Zidovudine USP 300MG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>LAMIVUDINE</v>
      </c>
      <c r="H56" s="131"/>
    </row>
    <row r="57" spans="1:12" ht="18.75" x14ac:dyDescent="0.3">
      <c r="A57" s="128" t="s">
        <v>88</v>
      </c>
      <c r="B57" s="199">
        <f>Uniformity!C46</f>
        <v>1129.2714999999998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10</v>
      </c>
      <c r="C60" s="641" t="s">
        <v>94</v>
      </c>
      <c r="D60" s="644">
        <v>1117.18</v>
      </c>
      <c r="E60" s="134">
        <v>1</v>
      </c>
      <c r="F60" s="135">
        <v>37240328</v>
      </c>
      <c r="G60" s="200">
        <f>IF(ISBLANK(F60),"-",(F60/$D$50*$D$47*$B$68)*($B$57/$D$60))</f>
        <v>145.79103877900386</v>
      </c>
      <c r="H60" s="218">
        <f t="shared" ref="H60:H71" si="0">IF(ISBLANK(F60),"-",(G60/$B$56)*100)</f>
        <v>97.194025852669242</v>
      </c>
      <c r="L60" s="64"/>
    </row>
    <row r="61" spans="1:12" s="3" customFormat="1" ht="26.25" customHeight="1" x14ac:dyDescent="0.4">
      <c r="A61" s="76" t="s">
        <v>95</v>
      </c>
      <c r="B61" s="77">
        <v>100</v>
      </c>
      <c r="C61" s="642"/>
      <c r="D61" s="645"/>
      <c r="E61" s="136">
        <v>2</v>
      </c>
      <c r="F61" s="89">
        <v>37193774</v>
      </c>
      <c r="G61" s="201">
        <f>IF(ISBLANK(F61),"-",(F61/$D$50*$D$47*$B$68)*($B$57/$D$60))</f>
        <v>145.60878592614719</v>
      </c>
      <c r="H61" s="219">
        <f t="shared" si="0"/>
        <v>97.072523950764804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42"/>
      <c r="D62" s="645"/>
      <c r="E62" s="136">
        <v>3</v>
      </c>
      <c r="F62" s="137">
        <v>37156083</v>
      </c>
      <c r="G62" s="201">
        <f>IF(ISBLANK(F62),"-",(F62/$D$50*$D$47*$B$68)*($B$57/$D$60))</f>
        <v>145.46123056512513</v>
      </c>
      <c r="H62" s="219">
        <f t="shared" si="0"/>
        <v>96.974153710083428</v>
      </c>
      <c r="L62" s="64"/>
    </row>
    <row r="63" spans="1:12" ht="27" customHeight="1" x14ac:dyDescent="0.4">
      <c r="A63" s="76" t="s">
        <v>97</v>
      </c>
      <c r="B63" s="77">
        <v>1</v>
      </c>
      <c r="C63" s="651"/>
      <c r="D63" s="646"/>
      <c r="E63" s="138">
        <v>4</v>
      </c>
      <c r="F63" s="139"/>
      <c r="G63" s="201" t="str">
        <f>IF(ISBLANK(F63),"-",(F63/$D$50*$D$47*$B$68)*($B$57/$D$60))</f>
        <v>-</v>
      </c>
      <c r="H63" s="219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41" t="s">
        <v>99</v>
      </c>
      <c r="D64" s="644">
        <v>1139.69</v>
      </c>
      <c r="E64" s="134">
        <v>1</v>
      </c>
      <c r="F64" s="135">
        <v>37920312</v>
      </c>
      <c r="G64" s="200">
        <f>IF(ISBLANK(F64),"-",(F64/$D$50*$D$47*$B$68)*($B$57/$D$64))</f>
        <v>145.5209929708796</v>
      </c>
      <c r="H64" s="218">
        <f t="shared" si="0"/>
        <v>97.013995313919736</v>
      </c>
    </row>
    <row r="65" spans="1:8" ht="26.25" customHeight="1" x14ac:dyDescent="0.4">
      <c r="A65" s="76" t="s">
        <v>100</v>
      </c>
      <c r="B65" s="77">
        <v>1</v>
      </c>
      <c r="C65" s="642"/>
      <c r="D65" s="645"/>
      <c r="E65" s="136">
        <v>2</v>
      </c>
      <c r="F65" s="89">
        <v>38057884</v>
      </c>
      <c r="G65" s="201">
        <f>IF(ISBLANK(F65),"-",(F65/$D$50*$D$47*$B$68)*($B$57/$D$64))</f>
        <v>146.04893203543662</v>
      </c>
      <c r="H65" s="219">
        <f t="shared" si="0"/>
        <v>97.365954690291076</v>
      </c>
    </row>
    <row r="66" spans="1:8" ht="26.25" customHeight="1" x14ac:dyDescent="0.4">
      <c r="A66" s="76" t="s">
        <v>101</v>
      </c>
      <c r="B66" s="77">
        <v>1</v>
      </c>
      <c r="C66" s="642"/>
      <c r="D66" s="645"/>
      <c r="E66" s="136">
        <v>3</v>
      </c>
      <c r="F66" s="89">
        <v>38072710</v>
      </c>
      <c r="G66" s="201">
        <f>IF(ISBLANK(F66),"-",(F66/$D$50*$D$47*$B$68)*($B$57/$D$64))</f>
        <v>146.10582751250405</v>
      </c>
      <c r="H66" s="219">
        <f t="shared" si="0"/>
        <v>97.403885008336033</v>
      </c>
    </row>
    <row r="67" spans="1:8" ht="27" customHeight="1" x14ac:dyDescent="0.4">
      <c r="A67" s="76" t="s">
        <v>102</v>
      </c>
      <c r="B67" s="77">
        <v>1</v>
      </c>
      <c r="C67" s="651"/>
      <c r="D67" s="646"/>
      <c r="E67" s="138">
        <v>4</v>
      </c>
      <c r="F67" s="139"/>
      <c r="G67" s="217" t="str">
        <f>IF(ISBLANK(F67),"-",(F67/$D$50*$D$47*$B$68)*($B$57/$D$64))</f>
        <v>-</v>
      </c>
      <c r="H67" s="220" t="str">
        <f t="shared" si="0"/>
        <v>-</v>
      </c>
    </row>
    <row r="68" spans="1:8" ht="26.25" customHeight="1" x14ac:dyDescent="0.4">
      <c r="A68" s="76" t="s">
        <v>103</v>
      </c>
      <c r="B68" s="140">
        <f>(B67/B66)*(B65/B64)*(B63/B62)*(B61/B60)*B59</f>
        <v>1000</v>
      </c>
      <c r="C68" s="641" t="s">
        <v>104</v>
      </c>
      <c r="D68" s="644">
        <v>1130.8</v>
      </c>
      <c r="E68" s="134">
        <v>1</v>
      </c>
      <c r="F68" s="135">
        <v>37983486</v>
      </c>
      <c r="G68" s="200">
        <f>IF(ISBLANK(F68),"-",(F68/$D$50*$D$47*$B$68)*($B$57/$D$68))</f>
        <v>146.90937317963184</v>
      </c>
      <c r="H68" s="219">
        <f t="shared" si="0"/>
        <v>97.939582119754562</v>
      </c>
    </row>
    <row r="69" spans="1:8" ht="27" customHeight="1" x14ac:dyDescent="0.4">
      <c r="A69" s="124" t="s">
        <v>105</v>
      </c>
      <c r="B69" s="141">
        <f>(D47*B68)/B56*B57</f>
        <v>1129.2714999999998</v>
      </c>
      <c r="C69" s="642"/>
      <c r="D69" s="645"/>
      <c r="E69" s="136">
        <v>2</v>
      </c>
      <c r="F69" s="89">
        <v>37737093</v>
      </c>
      <c r="G69" s="201">
        <f>IF(ISBLANK(F69),"-",(F69/$D$50*$D$47*$B$68)*($B$57/$D$68))</f>
        <v>145.95639479355512</v>
      </c>
      <c r="H69" s="219">
        <f t="shared" si="0"/>
        <v>97.304263195703413</v>
      </c>
    </row>
    <row r="70" spans="1:8" ht="26.25" customHeight="1" x14ac:dyDescent="0.4">
      <c r="A70" s="647" t="s">
        <v>78</v>
      </c>
      <c r="B70" s="648"/>
      <c r="C70" s="642"/>
      <c r="D70" s="645"/>
      <c r="E70" s="136">
        <v>3</v>
      </c>
      <c r="F70" s="89">
        <v>37961079</v>
      </c>
      <c r="G70" s="201">
        <f>IF(ISBLANK(F70),"-",(F70/$D$50*$D$47*$B$68)*($B$57/$D$68))</f>
        <v>146.82270924560444</v>
      </c>
      <c r="H70" s="219">
        <f t="shared" si="0"/>
        <v>97.8818061637363</v>
      </c>
    </row>
    <row r="71" spans="1:8" ht="27" customHeight="1" x14ac:dyDescent="0.4">
      <c r="A71" s="649"/>
      <c r="B71" s="650"/>
      <c r="C71" s="643"/>
      <c r="D71" s="646"/>
      <c r="E71" s="138">
        <v>4</v>
      </c>
      <c r="F71" s="139"/>
      <c r="G71" s="217" t="str">
        <f>IF(ISBLANK(F71),"-",(F71/$D$50*$D$47*$B$68)*($B$57/$D$68))</f>
        <v>-</v>
      </c>
      <c r="H71" s="220" t="str">
        <f t="shared" si="0"/>
        <v>-</v>
      </c>
    </row>
    <row r="72" spans="1:8" ht="26.25" customHeight="1" x14ac:dyDescent="0.4">
      <c r="A72" s="142"/>
      <c r="B72" s="142"/>
      <c r="C72" s="142"/>
      <c r="D72" s="142"/>
      <c r="E72" s="142"/>
      <c r="F72" s="144" t="s">
        <v>71</v>
      </c>
      <c r="G72" s="206">
        <f>AVERAGE(G60:G71)</f>
        <v>146.02503166754312</v>
      </c>
      <c r="H72" s="221">
        <f>AVERAGE(H60:H71)</f>
        <v>97.350021111695412</v>
      </c>
    </row>
    <row r="73" spans="1:8" ht="26.25" customHeight="1" x14ac:dyDescent="0.4">
      <c r="C73" s="142"/>
      <c r="D73" s="142"/>
      <c r="E73" s="142"/>
      <c r="F73" s="145" t="s">
        <v>84</v>
      </c>
      <c r="G73" s="205">
        <f>STDEV(G60:G71)/G72</f>
        <v>3.6156786101219931E-3</v>
      </c>
      <c r="H73" s="205">
        <f>STDEV(H60:H71)/H72</f>
        <v>3.6156786101219831E-3</v>
      </c>
    </row>
    <row r="74" spans="1:8" ht="27" customHeight="1" x14ac:dyDescent="0.4">
      <c r="A74" s="142"/>
      <c r="B74" s="142"/>
      <c r="C74" s="143"/>
      <c r="D74" s="143"/>
      <c r="E74" s="146"/>
      <c r="F74" s="147" t="s">
        <v>20</v>
      </c>
      <c r="G74" s="148">
        <f>COUNT(G60:G71)</f>
        <v>9</v>
      </c>
      <c r="H74" s="148">
        <f>COUNT(H60:H71)</f>
        <v>9</v>
      </c>
    </row>
    <row r="76" spans="1:8" ht="26.25" customHeight="1" x14ac:dyDescent="0.4">
      <c r="A76" s="60" t="s">
        <v>106</v>
      </c>
      <c r="B76" s="149" t="s">
        <v>107</v>
      </c>
      <c r="C76" s="628" t="str">
        <f>B26</f>
        <v>Lamivudine</v>
      </c>
      <c r="D76" s="628"/>
      <c r="E76" s="150" t="s">
        <v>108</v>
      </c>
      <c r="F76" s="150"/>
      <c r="G76" s="237">
        <f>H72</f>
        <v>97.350021111695412</v>
      </c>
      <c r="H76" s="152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62" t="str">
        <f>B26</f>
        <v>Lamivudine</v>
      </c>
      <c r="C79" s="662"/>
    </row>
    <row r="80" spans="1:8" ht="26.25" customHeight="1" x14ac:dyDescent="0.4">
      <c r="A80" s="61" t="s">
        <v>48</v>
      </c>
      <c r="B80" s="662" t="str">
        <f>B27</f>
        <v>L3-10</v>
      </c>
      <c r="C80" s="662"/>
    </row>
    <row r="81" spans="1:12" ht="27" customHeight="1" x14ac:dyDescent="0.4">
      <c r="A81" s="61" t="s">
        <v>6</v>
      </c>
      <c r="B81" s="153">
        <f>B28</f>
        <v>99.39</v>
      </c>
    </row>
    <row r="82" spans="1:12" s="3" customFormat="1" ht="27" customHeight="1" x14ac:dyDescent="0.4">
      <c r="A82" s="61" t="s">
        <v>49</v>
      </c>
      <c r="B82" s="63">
        <v>0</v>
      </c>
      <c r="C82" s="630" t="s">
        <v>50</v>
      </c>
      <c r="D82" s="631"/>
      <c r="E82" s="631"/>
      <c r="F82" s="631"/>
      <c r="G82" s="632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99.39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33" t="s">
        <v>111</v>
      </c>
      <c r="D84" s="634"/>
      <c r="E84" s="634"/>
      <c r="F84" s="634"/>
      <c r="G84" s="634"/>
      <c r="H84" s="635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33" t="s">
        <v>112</v>
      </c>
      <c r="D85" s="634"/>
      <c r="E85" s="634"/>
      <c r="F85" s="634"/>
      <c r="G85" s="634"/>
      <c r="H85" s="635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20</v>
      </c>
      <c r="D89" s="154" t="s">
        <v>59</v>
      </c>
      <c r="E89" s="155"/>
      <c r="F89" s="636" t="s">
        <v>60</v>
      </c>
      <c r="G89" s="637"/>
    </row>
    <row r="90" spans="1:12" ht="27" customHeight="1" x14ac:dyDescent="0.4">
      <c r="A90" s="76" t="s">
        <v>61</v>
      </c>
      <c r="B90" s="77">
        <v>4</v>
      </c>
      <c r="C90" s="156" t="s">
        <v>62</v>
      </c>
      <c r="D90" s="79" t="s">
        <v>63</v>
      </c>
      <c r="E90" s="80" t="s">
        <v>64</v>
      </c>
      <c r="F90" s="79" t="s">
        <v>63</v>
      </c>
      <c r="G90" s="157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20</v>
      </c>
      <c r="C91" s="158">
        <v>1</v>
      </c>
      <c r="D91" s="84">
        <v>37471617</v>
      </c>
      <c r="E91" s="85">
        <f>IF(ISBLANK(D91),"-",$D$101/$D$98*D91)</f>
        <v>42950098.815350525</v>
      </c>
      <c r="F91" s="84">
        <v>41247300</v>
      </c>
      <c r="G91" s="86">
        <f>IF(ISBLANK(F91),"-",$D$101/$F$98*F91)</f>
        <v>43148734.416559845</v>
      </c>
      <c r="I91" s="87"/>
    </row>
    <row r="92" spans="1:12" ht="26.25" customHeight="1" x14ac:dyDescent="0.4">
      <c r="A92" s="76" t="s">
        <v>67</v>
      </c>
      <c r="B92" s="77">
        <v>1</v>
      </c>
      <c r="C92" s="143">
        <v>2</v>
      </c>
      <c r="D92" s="89">
        <v>37551505</v>
      </c>
      <c r="E92" s="90">
        <f>IF(ISBLANK(D92),"-",$D$101/$D$98*D92)</f>
        <v>43041666.721111327</v>
      </c>
      <c r="F92" s="89">
        <v>40958430</v>
      </c>
      <c r="G92" s="91">
        <f>IF(ISBLANK(F92),"-",$D$101/$F$98*F92)</f>
        <v>42846547.972576566</v>
      </c>
      <c r="I92" s="638">
        <f>ABS((F96/D96*D95)-F95)/D95</f>
        <v>1.4979321251840593E-3</v>
      </c>
    </row>
    <row r="93" spans="1:12" ht="26.25" customHeight="1" x14ac:dyDescent="0.4">
      <c r="A93" s="76" t="s">
        <v>68</v>
      </c>
      <c r="B93" s="77">
        <v>1</v>
      </c>
      <c r="C93" s="143">
        <v>3</v>
      </c>
      <c r="D93" s="89">
        <v>37533070</v>
      </c>
      <c r="E93" s="90">
        <f>IF(ISBLANK(D93),"-",$D$101/$D$98*D93)</f>
        <v>43020536.459461264</v>
      </c>
      <c r="F93" s="89">
        <v>41289991</v>
      </c>
      <c r="G93" s="91">
        <f>IF(ISBLANK(F93),"-",$D$101/$F$98*F93)</f>
        <v>43193393.403232366</v>
      </c>
      <c r="I93" s="638"/>
    </row>
    <row r="94" spans="1:12" ht="27" customHeight="1" x14ac:dyDescent="0.4">
      <c r="A94" s="76" t="s">
        <v>69</v>
      </c>
      <c r="B94" s="77">
        <v>1</v>
      </c>
      <c r="C94" s="159">
        <v>4</v>
      </c>
      <c r="D94" s="94"/>
      <c r="E94" s="95" t="str">
        <f>IF(ISBLANK(D94),"-",$D$101/$D$98*D94)</f>
        <v>-</v>
      </c>
      <c r="F94" s="160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1" t="s">
        <v>71</v>
      </c>
      <c r="D95" s="162">
        <f>AVERAGE(D91:D94)</f>
        <v>37518730.666666664</v>
      </c>
      <c r="E95" s="100">
        <f>AVERAGE(E91:E94)</f>
        <v>43004100.665307708</v>
      </c>
      <c r="F95" s="163">
        <f>AVERAGE(F91:F94)</f>
        <v>41165240.333333336</v>
      </c>
      <c r="G95" s="164">
        <f>AVERAGE(G91:G94)</f>
        <v>43062891.93078959</v>
      </c>
    </row>
    <row r="96" spans="1:12" ht="26.25" customHeight="1" x14ac:dyDescent="0.4">
      <c r="A96" s="76" t="s">
        <v>72</v>
      </c>
      <c r="B96" s="62">
        <v>1</v>
      </c>
      <c r="C96" s="165" t="s">
        <v>113</v>
      </c>
      <c r="D96" s="166">
        <v>14.63</v>
      </c>
      <c r="E96" s="92"/>
      <c r="F96" s="104">
        <v>16.03</v>
      </c>
    </row>
    <row r="97" spans="1:10" ht="26.25" customHeight="1" x14ac:dyDescent="0.4">
      <c r="A97" s="76" t="s">
        <v>74</v>
      </c>
      <c r="B97" s="62">
        <v>1</v>
      </c>
      <c r="C97" s="167" t="s">
        <v>114</v>
      </c>
      <c r="D97" s="168">
        <f>D96*$B$87</f>
        <v>14.63</v>
      </c>
      <c r="E97" s="107"/>
      <c r="F97" s="106">
        <f>F96*$B$87</f>
        <v>16.03</v>
      </c>
    </row>
    <row r="98" spans="1:10" ht="19.5" customHeight="1" x14ac:dyDescent="0.3">
      <c r="A98" s="76" t="s">
        <v>76</v>
      </c>
      <c r="B98" s="169">
        <f>(B97/B96)*(B95/B94)*(B93/B92)*(B91/B90)*B89</f>
        <v>100</v>
      </c>
      <c r="C98" s="167" t="s">
        <v>115</v>
      </c>
      <c r="D98" s="170">
        <f>D97*$B$83/100</f>
        <v>14.540757000000001</v>
      </c>
      <c r="E98" s="110"/>
      <c r="F98" s="109">
        <f>F97*$B$83/100</f>
        <v>15.932217000000001</v>
      </c>
    </row>
    <row r="99" spans="1:10" ht="19.5" customHeight="1" x14ac:dyDescent="0.3">
      <c r="A99" s="624" t="s">
        <v>78</v>
      </c>
      <c r="B99" s="639"/>
      <c r="C99" s="167" t="s">
        <v>116</v>
      </c>
      <c r="D99" s="171">
        <f>D98/$B$98</f>
        <v>0.14540757000000001</v>
      </c>
      <c r="E99" s="110"/>
      <c r="F99" s="113">
        <f>F98/$B$98</f>
        <v>0.15932217000000001</v>
      </c>
      <c r="G99" s="172"/>
      <c r="H99" s="102"/>
    </row>
    <row r="100" spans="1:10" ht="19.5" customHeight="1" x14ac:dyDescent="0.3">
      <c r="A100" s="626"/>
      <c r="B100" s="640"/>
      <c r="C100" s="167" t="s">
        <v>80</v>
      </c>
      <c r="D100" s="173">
        <f>$B$56/$B$116</f>
        <v>0.16666666666666666</v>
      </c>
      <c r="F100" s="118"/>
      <c r="G100" s="174"/>
      <c r="H100" s="102"/>
    </row>
    <row r="101" spans="1:10" ht="18.75" x14ac:dyDescent="0.3">
      <c r="C101" s="167" t="s">
        <v>81</v>
      </c>
      <c r="D101" s="168">
        <f>D100*$B$98</f>
        <v>16.666666666666664</v>
      </c>
      <c r="F101" s="118"/>
      <c r="G101" s="172"/>
      <c r="H101" s="102"/>
    </row>
    <row r="102" spans="1:10" ht="19.5" customHeight="1" x14ac:dyDescent="0.3">
      <c r="C102" s="175" t="s">
        <v>82</v>
      </c>
      <c r="D102" s="176">
        <f>D101/B34</f>
        <v>16.666666666666664</v>
      </c>
      <c r="F102" s="122"/>
      <c r="G102" s="172"/>
      <c r="H102" s="102"/>
      <c r="J102" s="177"/>
    </row>
    <row r="103" spans="1:10" ht="18.75" x14ac:dyDescent="0.3">
      <c r="C103" s="178" t="s">
        <v>117</v>
      </c>
      <c r="D103" s="179">
        <f>AVERAGE(E91:E94,G91:G94)</f>
        <v>43033496.298048653</v>
      </c>
      <c r="F103" s="122"/>
      <c r="G103" s="180"/>
      <c r="H103" s="102"/>
      <c r="J103" s="181"/>
    </row>
    <row r="104" spans="1:10" ht="18.75" x14ac:dyDescent="0.3">
      <c r="C104" s="145" t="s">
        <v>84</v>
      </c>
      <c r="D104" s="182">
        <f>STDEV(E91:E94,G91:G94)/D103</f>
        <v>2.9574302755628547E-3</v>
      </c>
      <c r="F104" s="122"/>
      <c r="G104" s="172"/>
      <c r="H104" s="102"/>
      <c r="J104" s="181"/>
    </row>
    <row r="105" spans="1:10" ht="19.5" customHeight="1" x14ac:dyDescent="0.3">
      <c r="C105" s="147" t="s">
        <v>20</v>
      </c>
      <c r="D105" s="183">
        <f>COUNT(E91:E94,G91:G94)</f>
        <v>6</v>
      </c>
      <c r="F105" s="122"/>
      <c r="G105" s="172"/>
      <c r="H105" s="102"/>
      <c r="J105" s="181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7" customHeight="1" x14ac:dyDescent="0.4">
      <c r="A107" s="74" t="s">
        <v>118</v>
      </c>
      <c r="B107" s="75">
        <v>900</v>
      </c>
      <c r="C107" s="222" t="s">
        <v>119</v>
      </c>
      <c r="D107" s="222" t="s">
        <v>63</v>
      </c>
      <c r="E107" s="222" t="s">
        <v>120</v>
      </c>
      <c r="F107" s="184" t="s">
        <v>121</v>
      </c>
    </row>
    <row r="108" spans="1:10" ht="26.25" customHeight="1" x14ac:dyDescent="0.4">
      <c r="A108" s="76" t="s">
        <v>122</v>
      </c>
      <c r="B108" s="77">
        <v>1</v>
      </c>
      <c r="C108" s="227">
        <v>1</v>
      </c>
      <c r="D108" s="228">
        <v>42222617</v>
      </c>
      <c r="E108" s="202">
        <f t="shared" ref="E108:E113" si="1">IF(ISBLANK(D108),"-",D108/$D$103*$D$100*$B$116)</f>
        <v>147.17355304191693</v>
      </c>
      <c r="F108" s="229">
        <f t="shared" ref="F108:F113" si="2">IF(ISBLANK(D108), "-", (E108/$B$56)*100)</f>
        <v>98.115702027944621</v>
      </c>
    </row>
    <row r="109" spans="1:10" ht="26.25" customHeight="1" x14ac:dyDescent="0.4">
      <c r="A109" s="76" t="s">
        <v>95</v>
      </c>
      <c r="B109" s="77">
        <v>1</v>
      </c>
      <c r="C109" s="223">
        <v>2</v>
      </c>
      <c r="D109" s="225">
        <v>42965492</v>
      </c>
      <c r="E109" s="203">
        <f t="shared" si="1"/>
        <v>149.76296035449573</v>
      </c>
      <c r="F109" s="230">
        <f t="shared" si="2"/>
        <v>99.841973569663821</v>
      </c>
    </row>
    <row r="110" spans="1:10" ht="26.25" customHeight="1" x14ac:dyDescent="0.4">
      <c r="A110" s="76" t="s">
        <v>96</v>
      </c>
      <c r="B110" s="77">
        <v>1</v>
      </c>
      <c r="C110" s="223">
        <v>3</v>
      </c>
      <c r="D110" s="225">
        <v>42695810</v>
      </c>
      <c r="E110" s="203">
        <f t="shared" si="1"/>
        <v>148.82294145108551</v>
      </c>
      <c r="F110" s="230">
        <f t="shared" si="2"/>
        <v>99.215294300723684</v>
      </c>
    </row>
    <row r="111" spans="1:10" ht="26.25" customHeight="1" x14ac:dyDescent="0.4">
      <c r="A111" s="76" t="s">
        <v>97</v>
      </c>
      <c r="B111" s="77">
        <v>1</v>
      </c>
      <c r="C111" s="223">
        <v>4</v>
      </c>
      <c r="D111" s="225">
        <v>42630185</v>
      </c>
      <c r="E111" s="203">
        <f t="shared" si="1"/>
        <v>148.59419522205911</v>
      </c>
      <c r="F111" s="230">
        <f t="shared" si="2"/>
        <v>99.062796814706076</v>
      </c>
    </row>
    <row r="112" spans="1:10" ht="26.25" customHeight="1" x14ac:dyDescent="0.4">
      <c r="A112" s="76" t="s">
        <v>98</v>
      </c>
      <c r="B112" s="77">
        <v>1</v>
      </c>
      <c r="C112" s="223">
        <v>5</v>
      </c>
      <c r="D112" s="225">
        <v>42685737</v>
      </c>
      <c r="E112" s="203">
        <f t="shared" si="1"/>
        <v>148.7878304299048</v>
      </c>
      <c r="F112" s="230">
        <f t="shared" si="2"/>
        <v>99.191886953269872</v>
      </c>
    </row>
    <row r="113" spans="1:10" ht="27" customHeight="1" x14ac:dyDescent="0.4">
      <c r="A113" s="76" t="s">
        <v>100</v>
      </c>
      <c r="B113" s="77">
        <v>1</v>
      </c>
      <c r="C113" s="224">
        <v>6</v>
      </c>
      <c r="D113" s="226">
        <v>43586767</v>
      </c>
      <c r="E113" s="204">
        <f t="shared" si="1"/>
        <v>151.92851179736621</v>
      </c>
      <c r="F113" s="231">
        <f t="shared" si="2"/>
        <v>101.28567453157748</v>
      </c>
    </row>
    <row r="114" spans="1:10" ht="27" customHeight="1" x14ac:dyDescent="0.4">
      <c r="A114" s="76" t="s">
        <v>101</v>
      </c>
      <c r="B114" s="77">
        <v>1</v>
      </c>
      <c r="C114" s="185"/>
      <c r="D114" s="143"/>
      <c r="E114" s="50"/>
      <c r="F114" s="232"/>
    </row>
    <row r="115" spans="1:10" ht="26.25" customHeight="1" x14ac:dyDescent="0.4">
      <c r="A115" s="76" t="s">
        <v>102</v>
      </c>
      <c r="B115" s="77">
        <v>1</v>
      </c>
      <c r="C115" s="185"/>
      <c r="D115" s="209" t="s">
        <v>71</v>
      </c>
      <c r="E115" s="211">
        <f>AVERAGE(E108:E113)</f>
        <v>149.17833204947138</v>
      </c>
      <c r="F115" s="233">
        <f>AVERAGE(F108:F113)</f>
        <v>99.452221366314248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186"/>
      <c r="D116" s="210" t="s">
        <v>84</v>
      </c>
      <c r="E116" s="208">
        <f>STDEV(E108:E113)/E115</f>
        <v>1.0617803295556399E-2</v>
      </c>
      <c r="F116" s="187">
        <f>STDEV(F108:F113)/F115</f>
        <v>1.0617803295556425E-2</v>
      </c>
      <c r="I116" s="50"/>
    </row>
    <row r="117" spans="1:10" ht="27" customHeight="1" x14ac:dyDescent="0.4">
      <c r="A117" s="624" t="s">
        <v>78</v>
      </c>
      <c r="B117" s="625"/>
      <c r="C117" s="188"/>
      <c r="D117" s="147" t="s">
        <v>20</v>
      </c>
      <c r="E117" s="213">
        <f>COUNT(E108:E113)</f>
        <v>6</v>
      </c>
      <c r="F117" s="214">
        <f>COUNT(F108:F113)</f>
        <v>6</v>
      </c>
      <c r="I117" s="50"/>
      <c r="J117" s="181"/>
    </row>
    <row r="118" spans="1:10" ht="26.25" customHeight="1" x14ac:dyDescent="0.3">
      <c r="A118" s="626"/>
      <c r="B118" s="627"/>
      <c r="C118" s="50"/>
      <c r="D118" s="212"/>
      <c r="E118" s="652" t="s">
        <v>123</v>
      </c>
      <c r="F118" s="653"/>
      <c r="G118" s="50"/>
      <c r="H118" s="50"/>
      <c r="I118" s="50"/>
    </row>
    <row r="119" spans="1:10" ht="25.5" customHeight="1" x14ac:dyDescent="0.4">
      <c r="A119" s="197"/>
      <c r="B119" s="72"/>
      <c r="C119" s="50"/>
      <c r="D119" s="210" t="s">
        <v>124</v>
      </c>
      <c r="E119" s="215">
        <f>MIN(E108:E113)</f>
        <v>147.17355304191693</v>
      </c>
      <c r="F119" s="234">
        <f>MIN(F108:F113)</f>
        <v>98.115702027944621</v>
      </c>
      <c r="G119" s="50"/>
      <c r="H119" s="50"/>
      <c r="I119" s="50"/>
    </row>
    <row r="120" spans="1:10" ht="24" customHeight="1" x14ac:dyDescent="0.4">
      <c r="A120" s="197"/>
      <c r="B120" s="72"/>
      <c r="C120" s="50"/>
      <c r="D120" s="119" t="s">
        <v>125</v>
      </c>
      <c r="E120" s="216">
        <f>MAX(E108:E113)</f>
        <v>151.92851179736621</v>
      </c>
      <c r="F120" s="235">
        <f>MAX(F108:F113)</f>
        <v>101.28567453157748</v>
      </c>
      <c r="G120" s="50"/>
      <c r="H120" s="50"/>
      <c r="I120" s="50"/>
    </row>
    <row r="121" spans="1:10" ht="27" customHeight="1" x14ac:dyDescent="0.3">
      <c r="A121" s="197"/>
      <c r="B121" s="72"/>
      <c r="C121" s="50"/>
      <c r="D121" s="50"/>
      <c r="E121" s="50"/>
      <c r="F121" s="143"/>
      <c r="G121" s="50"/>
      <c r="H121" s="50"/>
      <c r="I121" s="50"/>
    </row>
    <row r="122" spans="1:10" ht="25.5" customHeight="1" x14ac:dyDescent="0.3">
      <c r="A122" s="197"/>
      <c r="B122" s="72"/>
      <c r="C122" s="50"/>
      <c r="D122" s="50"/>
      <c r="E122" s="50"/>
      <c r="F122" s="143"/>
      <c r="G122" s="50"/>
      <c r="H122" s="50"/>
      <c r="I122" s="50"/>
    </row>
    <row r="123" spans="1:10" ht="18.75" x14ac:dyDescent="0.3">
      <c r="A123" s="197"/>
      <c r="B123" s="72"/>
      <c r="C123" s="50"/>
      <c r="D123" s="50"/>
      <c r="E123" s="50"/>
      <c r="F123" s="143"/>
      <c r="G123" s="50"/>
      <c r="H123" s="50"/>
      <c r="I123" s="50"/>
    </row>
    <row r="124" spans="1:10" ht="45.75" customHeight="1" x14ac:dyDescent="0.65">
      <c r="A124" s="60" t="s">
        <v>106</v>
      </c>
      <c r="B124" s="149" t="s">
        <v>126</v>
      </c>
      <c r="C124" s="628" t="str">
        <f>B26</f>
        <v>Lamivudine</v>
      </c>
      <c r="D124" s="628"/>
      <c r="E124" s="150" t="s">
        <v>127</v>
      </c>
      <c r="F124" s="150"/>
      <c r="G124" s="236">
        <f>F115</f>
        <v>99.452221366314248</v>
      </c>
      <c r="H124" s="50"/>
      <c r="I124" s="50"/>
    </row>
    <row r="125" spans="1:10" ht="45.75" customHeight="1" x14ac:dyDescent="0.65">
      <c r="A125" s="60"/>
      <c r="B125" s="149" t="s">
        <v>128</v>
      </c>
      <c r="C125" s="61" t="s">
        <v>129</v>
      </c>
      <c r="D125" s="236">
        <f>MIN(F108:F113)</f>
        <v>98.115702027944621</v>
      </c>
      <c r="E125" s="161" t="s">
        <v>130</v>
      </c>
      <c r="F125" s="236">
        <f>MAX(F108:F113)</f>
        <v>101.28567453157748</v>
      </c>
      <c r="G125" s="151"/>
      <c r="H125" s="50"/>
      <c r="I125" s="50"/>
    </row>
    <row r="126" spans="1:10" ht="19.5" customHeight="1" x14ac:dyDescent="0.3">
      <c r="A126" s="189"/>
      <c r="B126" s="189"/>
      <c r="C126" s="190"/>
      <c r="D126" s="190"/>
      <c r="E126" s="190"/>
      <c r="F126" s="190"/>
      <c r="G126" s="190"/>
      <c r="H126" s="190"/>
    </row>
    <row r="127" spans="1:10" ht="18.75" x14ac:dyDescent="0.3">
      <c r="B127" s="629" t="s">
        <v>26</v>
      </c>
      <c r="C127" s="629"/>
      <c r="E127" s="156" t="s">
        <v>27</v>
      </c>
      <c r="F127" s="191"/>
      <c r="G127" s="629" t="s">
        <v>28</v>
      </c>
      <c r="H127" s="629"/>
    </row>
    <row r="128" spans="1:10" ht="69.95" customHeight="1" x14ac:dyDescent="0.3">
      <c r="A128" s="192" t="s">
        <v>29</v>
      </c>
      <c r="B128" s="193"/>
      <c r="C128" s="193"/>
      <c r="E128" s="193"/>
      <c r="F128" s="50"/>
      <c r="G128" s="194"/>
      <c r="H128" s="194"/>
    </row>
    <row r="129" spans="1:9" ht="69.95" customHeight="1" x14ac:dyDescent="0.3">
      <c r="A129" s="192" t="s">
        <v>30</v>
      </c>
      <c r="B129" s="195"/>
      <c r="C129" s="195"/>
      <c r="E129" s="195"/>
      <c r="F129" s="50"/>
      <c r="G129" s="196"/>
      <c r="H129" s="196"/>
    </row>
    <row r="130" spans="1:9" ht="18.75" x14ac:dyDescent="0.3">
      <c r="A130" s="142"/>
      <c r="B130" s="142"/>
      <c r="C130" s="143"/>
      <c r="D130" s="143"/>
      <c r="E130" s="143"/>
      <c r="F130" s="146"/>
      <c r="G130" s="143"/>
      <c r="H130" s="143"/>
      <c r="I130" s="50"/>
    </row>
    <row r="131" spans="1:9" ht="18.75" x14ac:dyDescent="0.3">
      <c r="A131" s="142"/>
      <c r="B131" s="142"/>
      <c r="C131" s="143"/>
      <c r="D131" s="143"/>
      <c r="E131" s="143"/>
      <c r="F131" s="146"/>
      <c r="G131" s="143"/>
      <c r="H131" s="143"/>
      <c r="I131" s="50"/>
    </row>
    <row r="132" spans="1:9" ht="18.75" x14ac:dyDescent="0.3">
      <c r="A132" s="142"/>
      <c r="B132" s="142"/>
      <c r="C132" s="143"/>
      <c r="D132" s="143"/>
      <c r="E132" s="143"/>
      <c r="F132" s="146"/>
      <c r="G132" s="143"/>
      <c r="H132" s="143"/>
      <c r="I132" s="50"/>
    </row>
    <row r="133" spans="1:9" ht="18.75" x14ac:dyDescent="0.3">
      <c r="A133" s="142"/>
      <c r="B133" s="142"/>
      <c r="C133" s="143"/>
      <c r="D133" s="143"/>
      <c r="E133" s="143"/>
      <c r="F133" s="146"/>
      <c r="G133" s="143"/>
      <c r="H133" s="143"/>
      <c r="I133" s="50"/>
    </row>
    <row r="134" spans="1:9" ht="18.75" x14ac:dyDescent="0.3">
      <c r="A134" s="142"/>
      <c r="B134" s="142"/>
      <c r="C134" s="143"/>
      <c r="D134" s="143"/>
      <c r="E134" s="143"/>
      <c r="F134" s="146"/>
      <c r="G134" s="143"/>
      <c r="H134" s="143"/>
      <c r="I134" s="50"/>
    </row>
    <row r="135" spans="1:9" ht="18.75" x14ac:dyDescent="0.3">
      <c r="A135" s="142"/>
      <c r="B135" s="142"/>
      <c r="C135" s="143"/>
      <c r="D135" s="143"/>
      <c r="E135" s="143"/>
      <c r="F135" s="146"/>
      <c r="G135" s="143"/>
      <c r="H135" s="143"/>
      <c r="I135" s="50"/>
    </row>
    <row r="136" spans="1:9" ht="18.75" x14ac:dyDescent="0.3">
      <c r="A136" s="142"/>
      <c r="B136" s="142"/>
      <c r="C136" s="143"/>
      <c r="D136" s="143"/>
      <c r="E136" s="143"/>
      <c r="F136" s="146"/>
      <c r="G136" s="143"/>
      <c r="H136" s="143"/>
      <c r="I136" s="50"/>
    </row>
    <row r="137" spans="1:9" ht="18.75" x14ac:dyDescent="0.3">
      <c r="A137" s="142"/>
      <c r="B137" s="142"/>
      <c r="C137" s="143"/>
      <c r="D137" s="143"/>
      <c r="E137" s="143"/>
      <c r="F137" s="146"/>
      <c r="G137" s="143"/>
      <c r="H137" s="143"/>
      <c r="I137" s="50"/>
    </row>
    <row r="138" spans="1:9" ht="18.75" x14ac:dyDescent="0.3">
      <c r="A138" s="142"/>
      <c r="B138" s="142"/>
      <c r="C138" s="143"/>
      <c r="D138" s="143"/>
      <c r="E138" s="143"/>
      <c r="F138" s="146"/>
      <c r="G138" s="143"/>
      <c r="H138" s="143"/>
      <c r="I138" s="50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6" priority="1" operator="greaterThan">
      <formula>0.02</formula>
    </cfRule>
  </conditionalFormatting>
  <conditionalFormatting sqref="D51">
    <cfRule type="cellIs" dxfId="25" priority="2" operator="greaterThan">
      <formula>0.02</formula>
    </cfRule>
  </conditionalFormatting>
  <conditionalFormatting sqref="G73">
    <cfRule type="cellIs" dxfId="24" priority="3" operator="greaterThan">
      <formula>0.02</formula>
    </cfRule>
  </conditionalFormatting>
  <conditionalFormatting sqref="H73">
    <cfRule type="cellIs" dxfId="23" priority="4" operator="greaterThan">
      <formula>0.02</formula>
    </cfRule>
  </conditionalFormatting>
  <conditionalFormatting sqref="D104">
    <cfRule type="cellIs" dxfId="22" priority="5" operator="greaterThan">
      <formula>0.02</formula>
    </cfRule>
  </conditionalFormatting>
  <conditionalFormatting sqref="I39">
    <cfRule type="cellIs" dxfId="21" priority="6" operator="lessThanOrEqual">
      <formula>0.02</formula>
    </cfRule>
  </conditionalFormatting>
  <conditionalFormatting sqref="I39">
    <cfRule type="cellIs" dxfId="20" priority="7" operator="greaterThan">
      <formula>0.02</formula>
    </cfRule>
  </conditionalFormatting>
  <conditionalFormatting sqref="I92">
    <cfRule type="cellIs" dxfId="19" priority="8" operator="lessThanOrEqual">
      <formula>0.02</formula>
    </cfRule>
  </conditionalFormatting>
  <conditionalFormatting sqref="I92">
    <cfRule type="cellIs" dxfId="18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61" zoomScale="60" zoomScaleNormal="40" zoomScalePageLayoutView="50" workbookViewId="0">
      <selection activeCell="F38" sqref="F38:F4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238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240" t="s">
        <v>33</v>
      </c>
      <c r="B18" s="654" t="s">
        <v>5</v>
      </c>
      <c r="C18" s="654"/>
      <c r="D18" s="386"/>
      <c r="E18" s="241"/>
      <c r="F18" s="242"/>
      <c r="G18" s="242"/>
      <c r="H18" s="242"/>
    </row>
    <row r="19" spans="1:14" ht="26.25" customHeight="1" x14ac:dyDescent="0.4">
      <c r="A19" s="240" t="s">
        <v>34</v>
      </c>
      <c r="B19" s="243" t="s">
        <v>7</v>
      </c>
      <c r="C19" s="395">
        <v>1</v>
      </c>
      <c r="D19" s="242"/>
      <c r="E19" s="242"/>
      <c r="F19" s="242"/>
      <c r="G19" s="242"/>
      <c r="H19" s="242"/>
    </row>
    <row r="20" spans="1:14" ht="26.25" customHeight="1" x14ac:dyDescent="0.4">
      <c r="A20" s="240" t="s">
        <v>35</v>
      </c>
      <c r="B20" s="659" t="s">
        <v>134</v>
      </c>
      <c r="C20" s="659"/>
      <c r="D20" s="242"/>
      <c r="E20" s="242"/>
      <c r="F20" s="242"/>
      <c r="G20" s="242"/>
      <c r="H20" s="242"/>
    </row>
    <row r="21" spans="1:14" ht="26.25" customHeight="1" x14ac:dyDescent="0.4">
      <c r="A21" s="240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244"/>
    </row>
    <row r="22" spans="1:14" ht="26.25" customHeight="1" x14ac:dyDescent="0.4">
      <c r="A22" s="240" t="s">
        <v>37</v>
      </c>
      <c r="B22" s="245">
        <v>42975</v>
      </c>
      <c r="C22" s="242"/>
      <c r="D22" s="242"/>
      <c r="E22" s="242"/>
      <c r="F22" s="242"/>
      <c r="G22" s="242"/>
      <c r="H22" s="242"/>
    </row>
    <row r="23" spans="1:14" ht="26.25" customHeight="1" x14ac:dyDescent="0.4">
      <c r="A23" s="240" t="s">
        <v>38</v>
      </c>
      <c r="B23" s="245">
        <v>42978</v>
      </c>
      <c r="C23" s="242"/>
      <c r="D23" s="242"/>
      <c r="E23" s="242"/>
      <c r="F23" s="242"/>
      <c r="G23" s="242"/>
      <c r="H23" s="242"/>
    </row>
    <row r="24" spans="1:14" ht="18.75" x14ac:dyDescent="0.3">
      <c r="A24" s="240"/>
      <c r="B24" s="246"/>
    </row>
    <row r="25" spans="1:14" ht="18.75" x14ac:dyDescent="0.3">
      <c r="A25" s="247" t="s">
        <v>1</v>
      </c>
      <c r="B25" s="246"/>
    </row>
    <row r="26" spans="1:14" ht="26.25" customHeight="1" x14ac:dyDescent="0.4">
      <c r="A26" s="248" t="s">
        <v>4</v>
      </c>
      <c r="B26" s="654" t="s">
        <v>134</v>
      </c>
      <c r="C26" s="654"/>
    </row>
    <row r="27" spans="1:14" ht="26.25" customHeight="1" x14ac:dyDescent="0.4">
      <c r="A27" s="249" t="s">
        <v>48</v>
      </c>
      <c r="B27" s="660" t="s">
        <v>133</v>
      </c>
      <c r="C27" s="660"/>
    </row>
    <row r="28" spans="1:14" ht="27" customHeight="1" x14ac:dyDescent="0.4">
      <c r="A28" s="249" t="s">
        <v>6</v>
      </c>
      <c r="B28" s="250">
        <v>99.7</v>
      </c>
    </row>
    <row r="29" spans="1:14" s="3" customFormat="1" ht="27" customHeight="1" x14ac:dyDescent="0.4">
      <c r="A29" s="249" t="s">
        <v>49</v>
      </c>
      <c r="B29" s="251"/>
      <c r="C29" s="630" t="s">
        <v>50</v>
      </c>
      <c r="D29" s="631"/>
      <c r="E29" s="631"/>
      <c r="F29" s="631"/>
      <c r="G29" s="632"/>
      <c r="I29" s="252"/>
      <c r="J29" s="252"/>
      <c r="K29" s="252"/>
      <c r="L29" s="252"/>
    </row>
    <row r="30" spans="1:14" s="3" customFormat="1" ht="19.5" customHeight="1" x14ac:dyDescent="0.3">
      <c r="A30" s="249" t="s">
        <v>51</v>
      </c>
      <c r="B30" s="253">
        <f>B28-B29</f>
        <v>99.7</v>
      </c>
      <c r="C30" s="254"/>
      <c r="D30" s="254"/>
      <c r="E30" s="254"/>
      <c r="F30" s="254"/>
      <c r="G30" s="255"/>
      <c r="I30" s="252"/>
      <c r="J30" s="252"/>
      <c r="K30" s="252"/>
      <c r="L30" s="252"/>
    </row>
    <row r="31" spans="1:14" s="3" customFormat="1" ht="27" customHeight="1" x14ac:dyDescent="0.4">
      <c r="A31" s="249" t="s">
        <v>52</v>
      </c>
      <c r="B31" s="256">
        <v>1</v>
      </c>
      <c r="C31" s="633" t="s">
        <v>53</v>
      </c>
      <c r="D31" s="634"/>
      <c r="E31" s="634"/>
      <c r="F31" s="634"/>
      <c r="G31" s="634"/>
      <c r="H31" s="635"/>
      <c r="I31" s="252"/>
      <c r="J31" s="252"/>
      <c r="K31" s="252"/>
      <c r="L31" s="252"/>
    </row>
    <row r="32" spans="1:14" s="3" customFormat="1" ht="27" customHeight="1" x14ac:dyDescent="0.4">
      <c r="A32" s="249" t="s">
        <v>54</v>
      </c>
      <c r="B32" s="256">
        <v>1</v>
      </c>
      <c r="C32" s="633" t="s">
        <v>55</v>
      </c>
      <c r="D32" s="634"/>
      <c r="E32" s="634"/>
      <c r="F32" s="634"/>
      <c r="G32" s="634"/>
      <c r="H32" s="635"/>
      <c r="I32" s="252"/>
      <c r="J32" s="252"/>
      <c r="K32" s="252"/>
      <c r="L32" s="257"/>
      <c r="M32" s="257"/>
      <c r="N32" s="258"/>
    </row>
    <row r="33" spans="1:14" s="3" customFormat="1" ht="17.25" customHeight="1" x14ac:dyDescent="0.3">
      <c r="A33" s="249"/>
      <c r="B33" s="259"/>
      <c r="C33" s="260"/>
      <c r="D33" s="260"/>
      <c r="E33" s="260"/>
      <c r="F33" s="260"/>
      <c r="G33" s="260"/>
      <c r="H33" s="260"/>
      <c r="I33" s="252"/>
      <c r="J33" s="252"/>
      <c r="K33" s="252"/>
      <c r="L33" s="257"/>
      <c r="M33" s="257"/>
      <c r="N33" s="258"/>
    </row>
    <row r="34" spans="1:14" s="3" customFormat="1" ht="18.75" x14ac:dyDescent="0.3">
      <c r="A34" s="249" t="s">
        <v>56</v>
      </c>
      <c r="B34" s="261">
        <f>B31/B32</f>
        <v>1</v>
      </c>
      <c r="C34" s="239" t="s">
        <v>57</v>
      </c>
      <c r="D34" s="239"/>
      <c r="E34" s="239"/>
      <c r="F34" s="239"/>
      <c r="G34" s="239"/>
      <c r="I34" s="252"/>
      <c r="J34" s="252"/>
      <c r="K34" s="252"/>
      <c r="L34" s="257"/>
      <c r="M34" s="257"/>
      <c r="N34" s="258"/>
    </row>
    <row r="35" spans="1:14" s="3" customFormat="1" ht="19.5" customHeight="1" x14ac:dyDescent="0.3">
      <c r="A35" s="249"/>
      <c r="B35" s="253"/>
      <c r="G35" s="239"/>
      <c r="I35" s="252"/>
      <c r="J35" s="252"/>
      <c r="K35" s="252"/>
      <c r="L35" s="257"/>
      <c r="M35" s="257"/>
      <c r="N35" s="258"/>
    </row>
    <row r="36" spans="1:14" s="3" customFormat="1" ht="27" customHeight="1" x14ac:dyDescent="0.4">
      <c r="A36" s="262" t="s">
        <v>58</v>
      </c>
      <c r="B36" s="263">
        <v>20</v>
      </c>
      <c r="C36" s="239"/>
      <c r="D36" s="636" t="s">
        <v>59</v>
      </c>
      <c r="E36" s="661"/>
      <c r="F36" s="636" t="s">
        <v>60</v>
      </c>
      <c r="G36" s="637"/>
      <c r="J36" s="252"/>
      <c r="K36" s="252"/>
      <c r="L36" s="257"/>
      <c r="M36" s="257"/>
      <c r="N36" s="258"/>
    </row>
    <row r="37" spans="1:14" s="3" customFormat="1" ht="27" customHeight="1" x14ac:dyDescent="0.4">
      <c r="A37" s="264" t="s">
        <v>61</v>
      </c>
      <c r="B37" s="265">
        <v>4</v>
      </c>
      <c r="C37" s="266" t="s">
        <v>62</v>
      </c>
      <c r="D37" s="267" t="s">
        <v>63</v>
      </c>
      <c r="E37" s="268" t="s">
        <v>64</v>
      </c>
      <c r="F37" s="267" t="s">
        <v>63</v>
      </c>
      <c r="G37" s="269" t="s">
        <v>64</v>
      </c>
      <c r="I37" s="270" t="s">
        <v>65</v>
      </c>
      <c r="J37" s="252"/>
      <c r="K37" s="252"/>
      <c r="L37" s="257"/>
      <c r="M37" s="257"/>
      <c r="N37" s="258"/>
    </row>
    <row r="38" spans="1:14" s="3" customFormat="1" ht="26.25" customHeight="1" x14ac:dyDescent="0.4">
      <c r="A38" s="264" t="s">
        <v>66</v>
      </c>
      <c r="B38" s="265">
        <v>20</v>
      </c>
      <c r="C38" s="271">
        <v>1</v>
      </c>
      <c r="D38" s="272">
        <v>31946376</v>
      </c>
      <c r="E38" s="273">
        <f>IF(ISBLANK(D38),"-",$D$48/$D$45*D38)</f>
        <v>33658091.922827303</v>
      </c>
      <c r="F38" s="272">
        <v>34168944</v>
      </c>
      <c r="G38" s="274">
        <f>IF(ISBLANK(F38),"-",$D$48/$F$45*F38)</f>
        <v>33682318.700573459</v>
      </c>
      <c r="I38" s="275"/>
      <c r="J38" s="252"/>
      <c r="K38" s="252"/>
      <c r="L38" s="257"/>
      <c r="M38" s="257"/>
      <c r="N38" s="258"/>
    </row>
    <row r="39" spans="1:14" s="3" customFormat="1" ht="26.25" customHeight="1" x14ac:dyDescent="0.4">
      <c r="A39" s="264" t="s">
        <v>67</v>
      </c>
      <c r="B39" s="265">
        <v>1</v>
      </c>
      <c r="C39" s="276">
        <v>2</v>
      </c>
      <c r="D39" s="277">
        <v>32007140</v>
      </c>
      <c r="E39" s="278">
        <f>IF(ISBLANK(D39),"-",$D$48/$D$45*D39)</f>
        <v>33722111.713291131</v>
      </c>
      <c r="F39" s="277">
        <v>33925307</v>
      </c>
      <c r="G39" s="279">
        <f>IF(ISBLANK(F39),"-",$D$48/$F$45*F39)</f>
        <v>33442151.515972976</v>
      </c>
      <c r="I39" s="638">
        <f>ABS((F43/D43*D42)-F42)/D42</f>
        <v>2.5666607355213028E-3</v>
      </c>
      <c r="J39" s="252"/>
      <c r="K39" s="252"/>
      <c r="L39" s="257"/>
      <c r="M39" s="257"/>
      <c r="N39" s="258"/>
    </row>
    <row r="40" spans="1:14" ht="26.25" customHeight="1" x14ac:dyDescent="0.4">
      <c r="A40" s="264" t="s">
        <v>68</v>
      </c>
      <c r="B40" s="265">
        <v>1</v>
      </c>
      <c r="C40" s="276">
        <v>3</v>
      </c>
      <c r="D40" s="277">
        <v>31988576</v>
      </c>
      <c r="E40" s="278">
        <f>IF(ISBLANK(D40),"-",$D$48/$D$45*D40)</f>
        <v>33702553.037263043</v>
      </c>
      <c r="F40" s="277">
        <v>34202648</v>
      </c>
      <c r="G40" s="279">
        <f>IF(ISBLANK(F40),"-",$D$48/$F$45*F40)</f>
        <v>33715542.696886726</v>
      </c>
      <c r="I40" s="638"/>
      <c r="L40" s="257"/>
      <c r="M40" s="257"/>
      <c r="N40" s="280"/>
    </row>
    <row r="41" spans="1:14" ht="27" customHeight="1" x14ac:dyDescent="0.4">
      <c r="A41" s="264" t="s">
        <v>69</v>
      </c>
      <c r="B41" s="265">
        <v>1</v>
      </c>
      <c r="C41" s="281">
        <v>4</v>
      </c>
      <c r="D41" s="282"/>
      <c r="E41" s="283" t="str">
        <f>IF(ISBLANK(D41),"-",$D$48/$D$45*D41)</f>
        <v>-</v>
      </c>
      <c r="F41" s="282"/>
      <c r="G41" s="284" t="str">
        <f>IF(ISBLANK(F41),"-",$D$48/$F$45*F41)</f>
        <v>-</v>
      </c>
      <c r="I41" s="285"/>
      <c r="L41" s="257"/>
      <c r="M41" s="257"/>
      <c r="N41" s="280"/>
    </row>
    <row r="42" spans="1:14" ht="27" customHeight="1" x14ac:dyDescent="0.4">
      <c r="A42" s="264" t="s">
        <v>70</v>
      </c>
      <c r="B42" s="265">
        <v>1</v>
      </c>
      <c r="C42" s="286" t="s">
        <v>71</v>
      </c>
      <c r="D42" s="287">
        <f>AVERAGE(D38:D41)</f>
        <v>31980697.333333332</v>
      </c>
      <c r="E42" s="288">
        <f>AVERAGE(E38:E41)</f>
        <v>33694252.22446049</v>
      </c>
      <c r="F42" s="287">
        <f>AVERAGE(F38:F41)</f>
        <v>34098966.333333336</v>
      </c>
      <c r="G42" s="289">
        <f>AVERAGE(G38:G41)</f>
        <v>33613337.637811057</v>
      </c>
      <c r="H42" s="290"/>
    </row>
    <row r="43" spans="1:14" ht="26.25" customHeight="1" x14ac:dyDescent="0.4">
      <c r="A43" s="264" t="s">
        <v>72</v>
      </c>
      <c r="B43" s="265">
        <v>1</v>
      </c>
      <c r="C43" s="291" t="s">
        <v>73</v>
      </c>
      <c r="D43" s="292">
        <v>19.04</v>
      </c>
      <c r="E43" s="280"/>
      <c r="F43" s="292">
        <v>20.350000000000001</v>
      </c>
      <c r="H43" s="290"/>
    </row>
    <row r="44" spans="1:14" ht="26.25" customHeight="1" x14ac:dyDescent="0.4">
      <c r="A44" s="264" t="s">
        <v>74</v>
      </c>
      <c r="B44" s="265">
        <v>1</v>
      </c>
      <c r="C44" s="293" t="s">
        <v>75</v>
      </c>
      <c r="D44" s="294">
        <f>D43*$B$34</f>
        <v>19.04</v>
      </c>
      <c r="E44" s="295"/>
      <c r="F44" s="294">
        <f>F43*$B$34</f>
        <v>20.350000000000001</v>
      </c>
      <c r="H44" s="290"/>
    </row>
    <row r="45" spans="1:14" ht="19.5" customHeight="1" x14ac:dyDescent="0.3">
      <c r="A45" s="264" t="s">
        <v>76</v>
      </c>
      <c r="B45" s="296">
        <f>(B44/B43)*(B42/B41)*(B40/B39)*(B38/B37)*B36</f>
        <v>100</v>
      </c>
      <c r="C45" s="293" t="s">
        <v>77</v>
      </c>
      <c r="D45" s="297">
        <f>D44*$B$30/100</f>
        <v>18.982880000000002</v>
      </c>
      <c r="E45" s="298"/>
      <c r="F45" s="297">
        <f>F44*$B$30/100</f>
        <v>20.288950000000003</v>
      </c>
      <c r="H45" s="290"/>
    </row>
    <row r="46" spans="1:14" ht="19.5" customHeight="1" x14ac:dyDescent="0.3">
      <c r="A46" s="624" t="s">
        <v>78</v>
      </c>
      <c r="B46" s="625"/>
      <c r="C46" s="293" t="s">
        <v>79</v>
      </c>
      <c r="D46" s="299">
        <f>D45/$B$45</f>
        <v>0.18982880000000002</v>
      </c>
      <c r="E46" s="300"/>
      <c r="F46" s="301">
        <f>F45/$B$45</f>
        <v>0.20288950000000003</v>
      </c>
      <c r="H46" s="290"/>
    </row>
    <row r="47" spans="1:14" ht="27" customHeight="1" x14ac:dyDescent="0.4">
      <c r="A47" s="626"/>
      <c r="B47" s="627"/>
      <c r="C47" s="302" t="s">
        <v>80</v>
      </c>
      <c r="D47" s="303">
        <v>0.2</v>
      </c>
      <c r="E47" s="304"/>
      <c r="F47" s="300"/>
      <c r="H47" s="290"/>
    </row>
    <row r="48" spans="1:14" ht="18.75" x14ac:dyDescent="0.3">
      <c r="C48" s="305" t="s">
        <v>81</v>
      </c>
      <c r="D48" s="297">
        <f>D47*$B$45</f>
        <v>20</v>
      </c>
      <c r="F48" s="306"/>
      <c r="H48" s="290"/>
    </row>
    <row r="49" spans="1:12" ht="19.5" customHeight="1" x14ac:dyDescent="0.3">
      <c r="C49" s="307" t="s">
        <v>82</v>
      </c>
      <c r="D49" s="308">
        <f>D48/B34</f>
        <v>20</v>
      </c>
      <c r="F49" s="306"/>
      <c r="H49" s="290"/>
    </row>
    <row r="50" spans="1:12" ht="18.75" x14ac:dyDescent="0.3">
      <c r="C50" s="262" t="s">
        <v>83</v>
      </c>
      <c r="D50" s="309">
        <f>AVERAGE(E38:E41,G38:G41)</f>
        <v>33653794.931135774</v>
      </c>
      <c r="F50" s="310"/>
      <c r="H50" s="290"/>
    </row>
    <row r="51" spans="1:12" ht="18.75" x14ac:dyDescent="0.3">
      <c r="C51" s="264" t="s">
        <v>84</v>
      </c>
      <c r="D51" s="311">
        <f>STDEV(E38:E41,G38:G41)/D50</f>
        <v>3.1581826549436699E-3</v>
      </c>
      <c r="F51" s="310"/>
      <c r="H51" s="290"/>
    </row>
    <row r="52" spans="1:12" ht="19.5" customHeight="1" x14ac:dyDescent="0.3">
      <c r="C52" s="312" t="s">
        <v>20</v>
      </c>
      <c r="D52" s="313">
        <f>COUNT(E38:E41,G38:G41)</f>
        <v>6</v>
      </c>
      <c r="F52" s="310"/>
    </row>
    <row r="54" spans="1:12" ht="18.75" x14ac:dyDescent="0.3">
      <c r="A54" s="314" t="s">
        <v>1</v>
      </c>
      <c r="B54" s="315" t="s">
        <v>85</v>
      </c>
    </row>
    <row r="55" spans="1:12" ht="18.75" x14ac:dyDescent="0.3">
      <c r="A55" s="239" t="s">
        <v>86</v>
      </c>
      <c r="B55" s="316" t="str">
        <f>B21</f>
        <v>Each Film Coated Tablet Contains Lamivudine USP 150MG, Nevirapine USP 200MG, Zidovudine USP 300MG</v>
      </c>
    </row>
    <row r="56" spans="1:12" ht="26.25" customHeight="1" x14ac:dyDescent="0.4">
      <c r="A56" s="317" t="s">
        <v>87</v>
      </c>
      <c r="B56" s="318">
        <v>200</v>
      </c>
      <c r="C56" s="239" t="str">
        <f>B20</f>
        <v>Nevirapine</v>
      </c>
      <c r="H56" s="319"/>
    </row>
    <row r="57" spans="1:12" ht="18.75" x14ac:dyDescent="0.3">
      <c r="A57" s="316" t="s">
        <v>88</v>
      </c>
      <c r="B57" s="387">
        <f>Uniformity!C46</f>
        <v>1129.2714999999998</v>
      </c>
      <c r="H57" s="319"/>
    </row>
    <row r="58" spans="1:12" ht="19.5" customHeight="1" x14ac:dyDescent="0.3">
      <c r="H58" s="319"/>
    </row>
    <row r="59" spans="1:12" s="3" customFormat="1" ht="27" customHeight="1" x14ac:dyDescent="0.4">
      <c r="A59" s="262" t="s">
        <v>89</v>
      </c>
      <c r="B59" s="263">
        <v>100</v>
      </c>
      <c r="C59" s="239"/>
      <c r="D59" s="320" t="s">
        <v>90</v>
      </c>
      <c r="E59" s="321" t="s">
        <v>62</v>
      </c>
      <c r="F59" s="321" t="s">
        <v>63</v>
      </c>
      <c r="G59" s="321" t="s">
        <v>91</v>
      </c>
      <c r="H59" s="266" t="s">
        <v>92</v>
      </c>
      <c r="L59" s="252"/>
    </row>
    <row r="60" spans="1:12" s="3" customFormat="1" ht="26.25" customHeight="1" x14ac:dyDescent="0.4">
      <c r="A60" s="264" t="s">
        <v>93</v>
      </c>
      <c r="B60" s="265">
        <v>10</v>
      </c>
      <c r="C60" s="641" t="s">
        <v>94</v>
      </c>
      <c r="D60" s="644">
        <v>1117.18</v>
      </c>
      <c r="E60" s="322">
        <v>1</v>
      </c>
      <c r="F60" s="323">
        <v>31357281</v>
      </c>
      <c r="G60" s="388">
        <f>IF(ISBLANK(F60),"-",(F60/$D$50*$D$47*$B$68)*($B$57/$D$60))</f>
        <v>188.36905756990919</v>
      </c>
      <c r="H60" s="406">
        <f t="shared" ref="H60:H71" si="0">IF(ISBLANK(F60),"-",(G60/$B$56)*100)</f>
        <v>94.184528784954594</v>
      </c>
      <c r="L60" s="252"/>
    </row>
    <row r="61" spans="1:12" s="3" customFormat="1" ht="26.25" customHeight="1" x14ac:dyDescent="0.4">
      <c r="A61" s="264" t="s">
        <v>95</v>
      </c>
      <c r="B61" s="265">
        <v>100</v>
      </c>
      <c r="C61" s="642"/>
      <c r="D61" s="645"/>
      <c r="E61" s="324">
        <v>2</v>
      </c>
      <c r="F61" s="277">
        <v>31298377</v>
      </c>
      <c r="G61" s="389">
        <f>IF(ISBLANK(F61),"-",(F61/$D$50*$D$47*$B$68)*($B$57/$D$60))</f>
        <v>188.01521021410372</v>
      </c>
      <c r="H61" s="407">
        <f t="shared" si="0"/>
        <v>94.007605107051859</v>
      </c>
      <c r="L61" s="252"/>
    </row>
    <row r="62" spans="1:12" s="3" customFormat="1" ht="26.25" customHeight="1" x14ac:dyDescent="0.4">
      <c r="A62" s="264" t="s">
        <v>96</v>
      </c>
      <c r="B62" s="265">
        <v>1</v>
      </c>
      <c r="C62" s="642"/>
      <c r="D62" s="645"/>
      <c r="E62" s="324">
        <v>3</v>
      </c>
      <c r="F62" s="325">
        <v>31267952</v>
      </c>
      <c r="G62" s="389">
        <f>IF(ISBLANK(F62),"-",(F62/$D$50*$D$47*$B$68)*($B$57/$D$60))</f>
        <v>187.83244154303932</v>
      </c>
      <c r="H62" s="407">
        <f t="shared" si="0"/>
        <v>93.916220771519662</v>
      </c>
      <c r="L62" s="252"/>
    </row>
    <row r="63" spans="1:12" ht="27" customHeight="1" x14ac:dyDescent="0.4">
      <c r="A63" s="264" t="s">
        <v>97</v>
      </c>
      <c r="B63" s="265">
        <v>1</v>
      </c>
      <c r="C63" s="651"/>
      <c r="D63" s="646"/>
      <c r="E63" s="326">
        <v>4</v>
      </c>
      <c r="F63" s="327"/>
      <c r="G63" s="389" t="str">
        <f>IF(ISBLANK(F63),"-",(F63/$D$50*$D$47*$B$68)*($B$57/$D$60))</f>
        <v>-</v>
      </c>
      <c r="H63" s="407" t="str">
        <f t="shared" si="0"/>
        <v>-</v>
      </c>
    </row>
    <row r="64" spans="1:12" ht="26.25" customHeight="1" x14ac:dyDescent="0.4">
      <c r="A64" s="264" t="s">
        <v>98</v>
      </c>
      <c r="B64" s="265">
        <v>1</v>
      </c>
      <c r="C64" s="641" t="s">
        <v>99</v>
      </c>
      <c r="D64" s="644">
        <v>1139.69</v>
      </c>
      <c r="E64" s="322">
        <v>1</v>
      </c>
      <c r="F64" s="323">
        <v>31743881</v>
      </c>
      <c r="G64" s="388">
        <f>IF(ISBLANK(F64),"-",(F64/$D$50*$D$47*$B$68)*($B$57/$D$64))</f>
        <v>186.92509246869136</v>
      </c>
      <c r="H64" s="406">
        <f t="shared" si="0"/>
        <v>93.46254623434568</v>
      </c>
    </row>
    <row r="65" spans="1:8" ht="26.25" customHeight="1" x14ac:dyDescent="0.4">
      <c r="A65" s="264" t="s">
        <v>100</v>
      </c>
      <c r="B65" s="265">
        <v>1</v>
      </c>
      <c r="C65" s="642"/>
      <c r="D65" s="645"/>
      <c r="E65" s="324">
        <v>2</v>
      </c>
      <c r="F65" s="277">
        <v>31852175</v>
      </c>
      <c r="G65" s="389">
        <f>IF(ISBLANK(F65),"-",(F65/$D$50*$D$47*$B$68)*($B$57/$D$64))</f>
        <v>187.56278594932795</v>
      </c>
      <c r="H65" s="407">
        <f t="shared" si="0"/>
        <v>93.781392974663973</v>
      </c>
    </row>
    <row r="66" spans="1:8" ht="26.25" customHeight="1" x14ac:dyDescent="0.4">
      <c r="A66" s="264" t="s">
        <v>101</v>
      </c>
      <c r="B66" s="265">
        <v>1</v>
      </c>
      <c r="C66" s="642"/>
      <c r="D66" s="645"/>
      <c r="E66" s="324">
        <v>3</v>
      </c>
      <c r="F66" s="277">
        <v>31862036</v>
      </c>
      <c r="G66" s="389">
        <f>IF(ISBLANK(F66),"-",(F66/$D$50*$D$47*$B$68)*($B$57/$D$64))</f>
        <v>187.62085283588266</v>
      </c>
      <c r="H66" s="407">
        <f t="shared" si="0"/>
        <v>93.810426417941329</v>
      </c>
    </row>
    <row r="67" spans="1:8" ht="27" customHeight="1" x14ac:dyDescent="0.4">
      <c r="A67" s="264" t="s">
        <v>102</v>
      </c>
      <c r="B67" s="265">
        <v>1</v>
      </c>
      <c r="C67" s="651"/>
      <c r="D67" s="646"/>
      <c r="E67" s="326">
        <v>4</v>
      </c>
      <c r="F67" s="327"/>
      <c r="G67" s="405" t="str">
        <f>IF(ISBLANK(F67),"-",(F67/$D$50*$D$47*$B$68)*($B$57/$D$64))</f>
        <v>-</v>
      </c>
      <c r="H67" s="408" t="str">
        <f t="shared" si="0"/>
        <v>-</v>
      </c>
    </row>
    <row r="68" spans="1:8" ht="26.25" customHeight="1" x14ac:dyDescent="0.4">
      <c r="A68" s="264" t="s">
        <v>103</v>
      </c>
      <c r="B68" s="328">
        <f>(B67/B66)*(B65/B64)*(B63/B62)*(B61/B60)*B59</f>
        <v>1000</v>
      </c>
      <c r="C68" s="641" t="s">
        <v>104</v>
      </c>
      <c r="D68" s="644">
        <v>1130.8</v>
      </c>
      <c r="E68" s="322">
        <v>1</v>
      </c>
      <c r="F68" s="323">
        <v>31634027</v>
      </c>
      <c r="G68" s="388">
        <f>IF(ISBLANK(F68),"-",(F68/$D$50*$D$47*$B$68)*($B$57/$D$68))</f>
        <v>187.74267458614193</v>
      </c>
      <c r="H68" s="407">
        <f t="shared" si="0"/>
        <v>93.871337293070965</v>
      </c>
    </row>
    <row r="69" spans="1:8" ht="27" customHeight="1" x14ac:dyDescent="0.4">
      <c r="A69" s="312" t="s">
        <v>105</v>
      </c>
      <c r="B69" s="329">
        <f>(D47*B68)/B56*B57</f>
        <v>1129.2714999999998</v>
      </c>
      <c r="C69" s="642"/>
      <c r="D69" s="645"/>
      <c r="E69" s="324">
        <v>2</v>
      </c>
      <c r="F69" s="277">
        <v>31402092</v>
      </c>
      <c r="G69" s="389">
        <f>IF(ISBLANK(F69),"-",(F69/$D$50*$D$47*$B$68)*($B$57/$D$68))</f>
        <v>186.36617904132444</v>
      </c>
      <c r="H69" s="407">
        <f t="shared" si="0"/>
        <v>93.183089520662222</v>
      </c>
    </row>
    <row r="70" spans="1:8" ht="26.25" customHeight="1" x14ac:dyDescent="0.4">
      <c r="A70" s="647" t="s">
        <v>78</v>
      </c>
      <c r="B70" s="648"/>
      <c r="C70" s="642"/>
      <c r="D70" s="645"/>
      <c r="E70" s="324">
        <v>3</v>
      </c>
      <c r="F70" s="277">
        <v>31591806</v>
      </c>
      <c r="G70" s="389">
        <f>IF(ISBLANK(F70),"-",(F70/$D$50*$D$47*$B$68)*($B$57/$D$68))</f>
        <v>187.49209999240776</v>
      </c>
      <c r="H70" s="407">
        <f t="shared" si="0"/>
        <v>93.74604999620388</v>
      </c>
    </row>
    <row r="71" spans="1:8" ht="27" customHeight="1" x14ac:dyDescent="0.4">
      <c r="A71" s="649"/>
      <c r="B71" s="650"/>
      <c r="C71" s="643"/>
      <c r="D71" s="646"/>
      <c r="E71" s="326">
        <v>4</v>
      </c>
      <c r="F71" s="327"/>
      <c r="G71" s="405" t="str">
        <f>IF(ISBLANK(F71),"-",(F71/$D$50*$D$47*$B$68)*($B$57/$D$68))</f>
        <v>-</v>
      </c>
      <c r="H71" s="408" t="str">
        <f t="shared" si="0"/>
        <v>-</v>
      </c>
    </row>
    <row r="72" spans="1:8" ht="26.25" customHeight="1" x14ac:dyDescent="0.4">
      <c r="A72" s="330"/>
      <c r="B72" s="330"/>
      <c r="C72" s="330"/>
      <c r="D72" s="330"/>
      <c r="E72" s="330"/>
      <c r="F72" s="332" t="s">
        <v>71</v>
      </c>
      <c r="G72" s="394">
        <f>AVERAGE(G60:G71)</f>
        <v>187.54737713342536</v>
      </c>
      <c r="H72" s="409">
        <f>AVERAGE(H60:H71)</f>
        <v>93.773688566712678</v>
      </c>
    </row>
    <row r="73" spans="1:8" ht="26.25" customHeight="1" x14ac:dyDescent="0.4">
      <c r="C73" s="330"/>
      <c r="D73" s="330"/>
      <c r="E73" s="330"/>
      <c r="F73" s="333" t="s">
        <v>84</v>
      </c>
      <c r="G73" s="393">
        <f>STDEV(G60:G71)/G72</f>
        <v>3.1570289124474124E-3</v>
      </c>
      <c r="H73" s="393">
        <f>STDEV(H60:H71)/H72</f>
        <v>3.1570289124474124E-3</v>
      </c>
    </row>
    <row r="74" spans="1:8" ht="27" customHeight="1" x14ac:dyDescent="0.4">
      <c r="A74" s="330"/>
      <c r="B74" s="330"/>
      <c r="C74" s="331"/>
      <c r="D74" s="331"/>
      <c r="E74" s="334"/>
      <c r="F74" s="335" t="s">
        <v>20</v>
      </c>
      <c r="G74" s="336">
        <f>COUNT(G60:G71)</f>
        <v>9</v>
      </c>
      <c r="H74" s="336">
        <f>COUNT(H60:H71)</f>
        <v>9</v>
      </c>
    </row>
    <row r="76" spans="1:8" ht="26.25" customHeight="1" x14ac:dyDescent="0.4">
      <c r="A76" s="248" t="s">
        <v>106</v>
      </c>
      <c r="B76" s="337" t="s">
        <v>107</v>
      </c>
      <c r="C76" s="628" t="str">
        <f>B26</f>
        <v>Nevirapine</v>
      </c>
      <c r="D76" s="628"/>
      <c r="E76" s="338" t="s">
        <v>108</v>
      </c>
      <c r="F76" s="338"/>
      <c r="G76" s="425">
        <f>H72</f>
        <v>93.773688566712678</v>
      </c>
      <c r="H76" s="340"/>
    </row>
    <row r="77" spans="1:8" ht="18.75" x14ac:dyDescent="0.3">
      <c r="A77" s="247" t="s">
        <v>109</v>
      </c>
      <c r="B77" s="247" t="s">
        <v>110</v>
      </c>
    </row>
    <row r="78" spans="1:8" ht="18.75" x14ac:dyDescent="0.3">
      <c r="A78" s="247"/>
      <c r="B78" s="247"/>
    </row>
    <row r="79" spans="1:8" ht="26.25" customHeight="1" x14ac:dyDescent="0.4">
      <c r="A79" s="248" t="s">
        <v>4</v>
      </c>
      <c r="B79" s="662" t="str">
        <f>B26</f>
        <v>Nevirapine</v>
      </c>
      <c r="C79" s="662"/>
    </row>
    <row r="80" spans="1:8" ht="26.25" customHeight="1" x14ac:dyDescent="0.4">
      <c r="A80" s="249" t="s">
        <v>48</v>
      </c>
      <c r="B80" s="662" t="str">
        <f>B27</f>
        <v>DBH027-C16A-160912</v>
      </c>
      <c r="C80" s="662"/>
    </row>
    <row r="81" spans="1:12" ht="27" customHeight="1" x14ac:dyDescent="0.4">
      <c r="A81" s="249" t="s">
        <v>6</v>
      </c>
      <c r="B81" s="341">
        <f>B28</f>
        <v>99.7</v>
      </c>
    </row>
    <row r="82" spans="1:12" s="3" customFormat="1" ht="27" customHeight="1" x14ac:dyDescent="0.4">
      <c r="A82" s="249" t="s">
        <v>49</v>
      </c>
      <c r="B82" s="251">
        <v>0</v>
      </c>
      <c r="C82" s="630" t="s">
        <v>50</v>
      </c>
      <c r="D82" s="631"/>
      <c r="E82" s="631"/>
      <c r="F82" s="631"/>
      <c r="G82" s="632"/>
      <c r="I82" s="252"/>
      <c r="J82" s="252"/>
      <c r="K82" s="252"/>
      <c r="L82" s="252"/>
    </row>
    <row r="83" spans="1:12" s="3" customFormat="1" ht="19.5" customHeight="1" x14ac:dyDescent="0.3">
      <c r="A83" s="249" t="s">
        <v>51</v>
      </c>
      <c r="B83" s="253">
        <f>B81-B82</f>
        <v>99.7</v>
      </c>
      <c r="C83" s="254"/>
      <c r="D83" s="254"/>
      <c r="E83" s="254"/>
      <c r="F83" s="254"/>
      <c r="G83" s="255"/>
      <c r="I83" s="252"/>
      <c r="J83" s="252"/>
      <c r="K83" s="252"/>
      <c r="L83" s="252"/>
    </row>
    <row r="84" spans="1:12" s="3" customFormat="1" ht="27" customHeight="1" x14ac:dyDescent="0.4">
      <c r="A84" s="249" t="s">
        <v>52</v>
      </c>
      <c r="B84" s="256">
        <v>1</v>
      </c>
      <c r="C84" s="633" t="s">
        <v>111</v>
      </c>
      <c r="D84" s="634"/>
      <c r="E84" s="634"/>
      <c r="F84" s="634"/>
      <c r="G84" s="634"/>
      <c r="H84" s="635"/>
      <c r="I84" s="252"/>
      <c r="J84" s="252"/>
      <c r="K84" s="252"/>
      <c r="L84" s="252"/>
    </row>
    <row r="85" spans="1:12" s="3" customFormat="1" ht="27" customHeight="1" x14ac:dyDescent="0.4">
      <c r="A85" s="249" t="s">
        <v>54</v>
      </c>
      <c r="B85" s="256">
        <v>1</v>
      </c>
      <c r="C85" s="633" t="s">
        <v>112</v>
      </c>
      <c r="D85" s="634"/>
      <c r="E85" s="634"/>
      <c r="F85" s="634"/>
      <c r="G85" s="634"/>
      <c r="H85" s="635"/>
      <c r="I85" s="252"/>
      <c r="J85" s="252"/>
      <c r="K85" s="252"/>
      <c r="L85" s="252"/>
    </row>
    <row r="86" spans="1:12" s="3" customFormat="1" ht="18.75" x14ac:dyDescent="0.3">
      <c r="A86" s="249"/>
      <c r="B86" s="259"/>
      <c r="C86" s="260"/>
      <c r="D86" s="260"/>
      <c r="E86" s="260"/>
      <c r="F86" s="260"/>
      <c r="G86" s="260"/>
      <c r="H86" s="260"/>
      <c r="I86" s="252"/>
      <c r="J86" s="252"/>
      <c r="K86" s="252"/>
      <c r="L86" s="252"/>
    </row>
    <row r="87" spans="1:12" s="3" customFormat="1" ht="18.75" x14ac:dyDescent="0.3">
      <c r="A87" s="249" t="s">
        <v>56</v>
      </c>
      <c r="B87" s="261">
        <f>B84/B85</f>
        <v>1</v>
      </c>
      <c r="C87" s="239" t="s">
        <v>57</v>
      </c>
      <c r="D87" s="239"/>
      <c r="E87" s="239"/>
      <c r="F87" s="239"/>
      <c r="G87" s="239"/>
      <c r="I87" s="252"/>
      <c r="J87" s="252"/>
      <c r="K87" s="252"/>
      <c r="L87" s="252"/>
    </row>
    <row r="88" spans="1:12" ht="19.5" customHeight="1" x14ac:dyDescent="0.3">
      <c r="A88" s="247"/>
      <c r="B88" s="247"/>
    </row>
    <row r="89" spans="1:12" ht="27" customHeight="1" x14ac:dyDescent="0.4">
      <c r="A89" s="262" t="s">
        <v>58</v>
      </c>
      <c r="B89" s="263">
        <v>20</v>
      </c>
      <c r="D89" s="342" t="s">
        <v>59</v>
      </c>
      <c r="E89" s="343"/>
      <c r="F89" s="636" t="s">
        <v>60</v>
      </c>
      <c r="G89" s="637"/>
    </row>
    <row r="90" spans="1:12" ht="27" customHeight="1" x14ac:dyDescent="0.4">
      <c r="A90" s="264" t="s">
        <v>61</v>
      </c>
      <c r="B90" s="265">
        <v>4</v>
      </c>
      <c r="C90" s="344" t="s">
        <v>62</v>
      </c>
      <c r="D90" s="267" t="s">
        <v>63</v>
      </c>
      <c r="E90" s="268" t="s">
        <v>64</v>
      </c>
      <c r="F90" s="267" t="s">
        <v>63</v>
      </c>
      <c r="G90" s="345" t="s">
        <v>64</v>
      </c>
      <c r="I90" s="270" t="s">
        <v>65</v>
      </c>
    </row>
    <row r="91" spans="1:12" ht="26.25" customHeight="1" x14ac:dyDescent="0.4">
      <c r="A91" s="264" t="s">
        <v>66</v>
      </c>
      <c r="B91" s="265">
        <v>20</v>
      </c>
      <c r="C91" s="346">
        <v>1</v>
      </c>
      <c r="D91" s="272">
        <v>31946376</v>
      </c>
      <c r="E91" s="273">
        <f>IF(ISBLANK(D91),"-",$D$101/$D$98*D91)</f>
        <v>37397879.914252557</v>
      </c>
      <c r="F91" s="272">
        <v>34168944</v>
      </c>
      <c r="G91" s="274">
        <f>IF(ISBLANK(F91),"-",$D$101/$F$98*F91)</f>
        <v>37424798.556192726</v>
      </c>
      <c r="I91" s="275"/>
    </row>
    <row r="92" spans="1:12" ht="26.25" customHeight="1" x14ac:dyDescent="0.4">
      <c r="A92" s="264" t="s">
        <v>67</v>
      </c>
      <c r="B92" s="265">
        <v>1</v>
      </c>
      <c r="C92" s="331">
        <v>2</v>
      </c>
      <c r="D92" s="277">
        <v>32007140</v>
      </c>
      <c r="E92" s="278">
        <f>IF(ISBLANK(D92),"-",$D$101/$D$98*D92)</f>
        <v>37469013.014767922</v>
      </c>
      <c r="F92" s="277">
        <v>33925307</v>
      </c>
      <c r="G92" s="279">
        <f>IF(ISBLANK(F92),"-",$D$101/$F$98*F92)</f>
        <v>37157946.128858857</v>
      </c>
      <c r="I92" s="638">
        <f>ABS((F96/D96*D95)-F95)/D95</f>
        <v>2.5666607355213028E-3</v>
      </c>
    </row>
    <row r="93" spans="1:12" ht="26.25" customHeight="1" x14ac:dyDescent="0.4">
      <c r="A93" s="264" t="s">
        <v>68</v>
      </c>
      <c r="B93" s="265">
        <v>1</v>
      </c>
      <c r="C93" s="331">
        <v>3</v>
      </c>
      <c r="D93" s="277">
        <v>31988576</v>
      </c>
      <c r="E93" s="278">
        <f>IF(ISBLANK(D93),"-",$D$101/$D$98*D93)</f>
        <v>37447281.152514495</v>
      </c>
      <c r="F93" s="277">
        <v>34202648</v>
      </c>
      <c r="G93" s="279">
        <f>IF(ISBLANK(F93),"-",$D$101/$F$98*F93)</f>
        <v>37461714.107651912</v>
      </c>
      <c r="I93" s="638"/>
    </row>
    <row r="94" spans="1:12" ht="27" customHeight="1" x14ac:dyDescent="0.4">
      <c r="A94" s="264" t="s">
        <v>69</v>
      </c>
      <c r="B94" s="265">
        <v>1</v>
      </c>
      <c r="C94" s="347">
        <v>4</v>
      </c>
      <c r="D94" s="282"/>
      <c r="E94" s="283" t="str">
        <f>IF(ISBLANK(D94),"-",$D$101/$D$98*D94)</f>
        <v>-</v>
      </c>
      <c r="F94" s="348"/>
      <c r="G94" s="284" t="str">
        <f>IF(ISBLANK(F94),"-",$D$101/$F$98*F94)</f>
        <v>-</v>
      </c>
      <c r="I94" s="285"/>
    </row>
    <row r="95" spans="1:12" ht="27" customHeight="1" x14ac:dyDescent="0.4">
      <c r="A95" s="264" t="s">
        <v>70</v>
      </c>
      <c r="B95" s="265">
        <v>1</v>
      </c>
      <c r="C95" s="349" t="s">
        <v>71</v>
      </c>
      <c r="D95" s="350">
        <f>AVERAGE(D91:D94)</f>
        <v>31980697.333333332</v>
      </c>
      <c r="E95" s="288">
        <f>AVERAGE(E91:E94)</f>
        <v>37438058.027178325</v>
      </c>
      <c r="F95" s="351">
        <f>AVERAGE(F91:F94)</f>
        <v>34098966.333333336</v>
      </c>
      <c r="G95" s="352">
        <f>AVERAGE(G91:G94)</f>
        <v>37348152.93090117</v>
      </c>
    </row>
    <row r="96" spans="1:12" ht="26.25" customHeight="1" x14ac:dyDescent="0.4">
      <c r="A96" s="264" t="s">
        <v>72</v>
      </c>
      <c r="B96" s="250">
        <v>1</v>
      </c>
      <c r="C96" s="353" t="s">
        <v>113</v>
      </c>
      <c r="D96" s="354">
        <v>19.04</v>
      </c>
      <c r="E96" s="280"/>
      <c r="F96" s="292">
        <v>20.350000000000001</v>
      </c>
    </row>
    <row r="97" spans="1:10" ht="26.25" customHeight="1" x14ac:dyDescent="0.4">
      <c r="A97" s="264" t="s">
        <v>74</v>
      </c>
      <c r="B97" s="250">
        <v>1</v>
      </c>
      <c r="C97" s="355" t="s">
        <v>114</v>
      </c>
      <c r="D97" s="356">
        <f>D96*$B$87</f>
        <v>19.04</v>
      </c>
      <c r="E97" s="295"/>
      <c r="F97" s="294">
        <f>F96*$B$87</f>
        <v>20.350000000000001</v>
      </c>
    </row>
    <row r="98" spans="1:10" ht="19.5" customHeight="1" x14ac:dyDescent="0.3">
      <c r="A98" s="264" t="s">
        <v>76</v>
      </c>
      <c r="B98" s="357">
        <f>(B97/B96)*(B95/B94)*(B93/B92)*(B91/B90)*B89</f>
        <v>100</v>
      </c>
      <c r="C98" s="355" t="s">
        <v>115</v>
      </c>
      <c r="D98" s="358">
        <f>D97*$B$83/100</f>
        <v>18.982880000000002</v>
      </c>
      <c r="E98" s="298"/>
      <c r="F98" s="297">
        <f>F97*$B$83/100</f>
        <v>20.288950000000003</v>
      </c>
    </row>
    <row r="99" spans="1:10" ht="19.5" customHeight="1" x14ac:dyDescent="0.3">
      <c r="A99" s="624" t="s">
        <v>78</v>
      </c>
      <c r="B99" s="639"/>
      <c r="C99" s="355" t="s">
        <v>116</v>
      </c>
      <c r="D99" s="359">
        <f>D98/$B$98</f>
        <v>0.18982880000000002</v>
      </c>
      <c r="E99" s="298"/>
      <c r="F99" s="301">
        <f>F98/$B$98</f>
        <v>0.20288950000000003</v>
      </c>
      <c r="G99" s="360"/>
      <c r="H99" s="290"/>
    </row>
    <row r="100" spans="1:10" ht="19.5" customHeight="1" x14ac:dyDescent="0.3">
      <c r="A100" s="626"/>
      <c r="B100" s="640"/>
      <c r="C100" s="355" t="s">
        <v>80</v>
      </c>
      <c r="D100" s="361">
        <f>$B$56/$B$116</f>
        <v>0.22222222222222221</v>
      </c>
      <c r="F100" s="306"/>
      <c r="G100" s="362"/>
      <c r="H100" s="290"/>
    </row>
    <row r="101" spans="1:10" ht="18.75" x14ac:dyDescent="0.3">
      <c r="C101" s="355" t="s">
        <v>81</v>
      </c>
      <c r="D101" s="356">
        <f>D100*$B$98</f>
        <v>22.222222222222221</v>
      </c>
      <c r="F101" s="306"/>
      <c r="G101" s="360"/>
      <c r="H101" s="290"/>
    </row>
    <row r="102" spans="1:10" ht="19.5" customHeight="1" x14ac:dyDescent="0.3">
      <c r="C102" s="363" t="s">
        <v>82</v>
      </c>
      <c r="D102" s="364">
        <f>D101/B34</f>
        <v>22.222222222222221</v>
      </c>
      <c r="F102" s="310"/>
      <c r="G102" s="360"/>
      <c r="H102" s="290"/>
      <c r="J102" s="365"/>
    </row>
    <row r="103" spans="1:10" ht="18.75" x14ac:dyDescent="0.3">
      <c r="C103" s="366" t="s">
        <v>117</v>
      </c>
      <c r="D103" s="367">
        <f>AVERAGE(E91:E94,G91:G94)</f>
        <v>37393105.479039751</v>
      </c>
      <c r="F103" s="310"/>
      <c r="G103" s="368"/>
      <c r="H103" s="290"/>
      <c r="J103" s="369"/>
    </row>
    <row r="104" spans="1:10" ht="18.75" x14ac:dyDescent="0.3">
      <c r="C104" s="333" t="s">
        <v>84</v>
      </c>
      <c r="D104" s="370">
        <f>STDEV(E91:E94,G91:G94)/D103</f>
        <v>3.1581826549436976E-3</v>
      </c>
      <c r="F104" s="310"/>
      <c r="G104" s="360"/>
      <c r="H104" s="290"/>
      <c r="J104" s="369"/>
    </row>
    <row r="105" spans="1:10" ht="19.5" customHeight="1" x14ac:dyDescent="0.3">
      <c r="C105" s="335" t="s">
        <v>20</v>
      </c>
      <c r="D105" s="371">
        <f>COUNT(E91:E94,G91:G94)</f>
        <v>6</v>
      </c>
      <c r="F105" s="310"/>
      <c r="G105" s="360"/>
      <c r="H105" s="290"/>
      <c r="J105" s="369"/>
    </row>
    <row r="106" spans="1:10" ht="19.5" customHeight="1" x14ac:dyDescent="0.3">
      <c r="A106" s="314"/>
      <c r="B106" s="314"/>
      <c r="C106" s="314"/>
      <c r="D106" s="314"/>
      <c r="E106" s="314"/>
    </row>
    <row r="107" spans="1:10" ht="27" customHeight="1" x14ac:dyDescent="0.4">
      <c r="A107" s="262" t="s">
        <v>118</v>
      </c>
      <c r="B107" s="263">
        <v>900</v>
      </c>
      <c r="C107" s="410" t="s">
        <v>119</v>
      </c>
      <c r="D107" s="410" t="s">
        <v>63</v>
      </c>
      <c r="E107" s="410" t="s">
        <v>120</v>
      </c>
      <c r="F107" s="372" t="s">
        <v>121</v>
      </c>
    </row>
    <row r="108" spans="1:10" ht="26.25" customHeight="1" x14ac:dyDescent="0.4">
      <c r="A108" s="264" t="s">
        <v>122</v>
      </c>
      <c r="B108" s="265">
        <v>1</v>
      </c>
      <c r="C108" s="415">
        <v>1</v>
      </c>
      <c r="D108" s="416">
        <v>34631092</v>
      </c>
      <c r="E108" s="390">
        <f t="shared" ref="E108:E113" si="1">IF(ISBLANK(D108),"-",D108/$D$103*$D$100*$B$116)</f>
        <v>185.22715113571957</v>
      </c>
      <c r="F108" s="417">
        <f t="shared" ref="F108:F113" si="2">IF(ISBLANK(D108), "-", (E108/$B$56)*100)</f>
        <v>92.613575567859783</v>
      </c>
    </row>
    <row r="109" spans="1:10" ht="26.25" customHeight="1" x14ac:dyDescent="0.4">
      <c r="A109" s="264" t="s">
        <v>95</v>
      </c>
      <c r="B109" s="265">
        <v>1</v>
      </c>
      <c r="C109" s="411">
        <v>2</v>
      </c>
      <c r="D109" s="413">
        <v>35596657</v>
      </c>
      <c r="E109" s="391">
        <f t="shared" si="1"/>
        <v>190.3915523676057</v>
      </c>
      <c r="F109" s="418">
        <f t="shared" si="2"/>
        <v>95.195776183802849</v>
      </c>
    </row>
    <row r="110" spans="1:10" ht="26.25" customHeight="1" x14ac:dyDescent="0.4">
      <c r="A110" s="264" t="s">
        <v>96</v>
      </c>
      <c r="B110" s="265">
        <v>1</v>
      </c>
      <c r="C110" s="411">
        <v>3</v>
      </c>
      <c r="D110" s="413">
        <v>35226818</v>
      </c>
      <c r="E110" s="391">
        <f t="shared" si="1"/>
        <v>188.41343904825428</v>
      </c>
      <c r="F110" s="418">
        <f t="shared" si="2"/>
        <v>94.206719524127138</v>
      </c>
    </row>
    <row r="111" spans="1:10" ht="26.25" customHeight="1" x14ac:dyDescent="0.4">
      <c r="A111" s="264" t="s">
        <v>97</v>
      </c>
      <c r="B111" s="265">
        <v>1</v>
      </c>
      <c r="C111" s="411">
        <v>4</v>
      </c>
      <c r="D111" s="413">
        <v>34958261</v>
      </c>
      <c r="E111" s="391">
        <f t="shared" si="1"/>
        <v>186.9770405648465</v>
      </c>
      <c r="F111" s="418">
        <f t="shared" si="2"/>
        <v>93.488520282423252</v>
      </c>
    </row>
    <row r="112" spans="1:10" ht="26.25" customHeight="1" x14ac:dyDescent="0.4">
      <c r="A112" s="264" t="s">
        <v>98</v>
      </c>
      <c r="B112" s="265">
        <v>1</v>
      </c>
      <c r="C112" s="411">
        <v>5</v>
      </c>
      <c r="D112" s="413">
        <v>35198504</v>
      </c>
      <c r="E112" s="391">
        <f t="shared" si="1"/>
        <v>188.2619993663275</v>
      </c>
      <c r="F112" s="418">
        <f t="shared" si="2"/>
        <v>94.130999683163751</v>
      </c>
    </row>
    <row r="113" spans="1:10" ht="27" customHeight="1" x14ac:dyDescent="0.4">
      <c r="A113" s="264" t="s">
        <v>100</v>
      </c>
      <c r="B113" s="265">
        <v>1</v>
      </c>
      <c r="C113" s="412">
        <v>6</v>
      </c>
      <c r="D113" s="414">
        <v>36334515</v>
      </c>
      <c r="E113" s="392">
        <f t="shared" si="1"/>
        <v>194.33804459149223</v>
      </c>
      <c r="F113" s="419">
        <f t="shared" si="2"/>
        <v>97.169022295746117</v>
      </c>
    </row>
    <row r="114" spans="1:10" ht="27" customHeight="1" x14ac:dyDescent="0.4">
      <c r="A114" s="264" t="s">
        <v>101</v>
      </c>
      <c r="B114" s="265">
        <v>1</v>
      </c>
      <c r="C114" s="373"/>
      <c r="D114" s="331"/>
      <c r="E114" s="238"/>
      <c r="F114" s="420"/>
    </row>
    <row r="115" spans="1:10" ht="26.25" customHeight="1" x14ac:dyDescent="0.4">
      <c r="A115" s="264" t="s">
        <v>102</v>
      </c>
      <c r="B115" s="265">
        <v>1</v>
      </c>
      <c r="C115" s="373"/>
      <c r="D115" s="397" t="s">
        <v>71</v>
      </c>
      <c r="E115" s="399">
        <f>AVERAGE(E108:E113)</f>
        <v>188.93487117904098</v>
      </c>
      <c r="F115" s="421">
        <f>AVERAGE(F108:F113)</f>
        <v>94.467435589520491</v>
      </c>
    </row>
    <row r="116" spans="1:10" ht="27" customHeight="1" x14ac:dyDescent="0.4">
      <c r="A116" s="264" t="s">
        <v>103</v>
      </c>
      <c r="B116" s="296">
        <f>(B115/B114)*(B113/B112)*(B111/B110)*(B109/B108)*B107</f>
        <v>900</v>
      </c>
      <c r="C116" s="374"/>
      <c r="D116" s="398" t="s">
        <v>84</v>
      </c>
      <c r="E116" s="396">
        <f>STDEV(E108:E113)/E115</f>
        <v>1.667386354358652E-2</v>
      </c>
      <c r="F116" s="375">
        <f>STDEV(F108:F113)/F115</f>
        <v>1.667386354358652E-2</v>
      </c>
      <c r="I116" s="238"/>
    </row>
    <row r="117" spans="1:10" ht="27" customHeight="1" x14ac:dyDescent="0.4">
      <c r="A117" s="624" t="s">
        <v>78</v>
      </c>
      <c r="B117" s="625"/>
      <c r="C117" s="376"/>
      <c r="D117" s="335" t="s">
        <v>20</v>
      </c>
      <c r="E117" s="401">
        <f>COUNT(E108:E113)</f>
        <v>6</v>
      </c>
      <c r="F117" s="402">
        <f>COUNT(F108:F113)</f>
        <v>6</v>
      </c>
      <c r="I117" s="238"/>
      <c r="J117" s="369"/>
    </row>
    <row r="118" spans="1:10" ht="26.25" customHeight="1" x14ac:dyDescent="0.3">
      <c r="A118" s="626"/>
      <c r="B118" s="627"/>
      <c r="C118" s="238"/>
      <c r="D118" s="400"/>
      <c r="E118" s="652" t="s">
        <v>123</v>
      </c>
      <c r="F118" s="653"/>
      <c r="G118" s="238"/>
      <c r="H118" s="238"/>
      <c r="I118" s="238"/>
    </row>
    <row r="119" spans="1:10" ht="25.5" customHeight="1" x14ac:dyDescent="0.4">
      <c r="A119" s="385"/>
      <c r="B119" s="260"/>
      <c r="C119" s="238"/>
      <c r="D119" s="398" t="s">
        <v>124</v>
      </c>
      <c r="E119" s="403">
        <f>MIN(E108:E113)</f>
        <v>185.22715113571957</v>
      </c>
      <c r="F119" s="422">
        <f>MIN(F108:F113)</f>
        <v>92.613575567859783</v>
      </c>
      <c r="G119" s="238"/>
      <c r="H119" s="238"/>
      <c r="I119" s="238"/>
    </row>
    <row r="120" spans="1:10" ht="24" customHeight="1" x14ac:dyDescent="0.4">
      <c r="A120" s="385"/>
      <c r="B120" s="260"/>
      <c r="C120" s="238"/>
      <c r="D120" s="307" t="s">
        <v>125</v>
      </c>
      <c r="E120" s="404">
        <f>MAX(E108:E113)</f>
        <v>194.33804459149223</v>
      </c>
      <c r="F120" s="423">
        <f>MAX(F108:F113)</f>
        <v>97.169022295746117</v>
      </c>
      <c r="G120" s="238"/>
      <c r="H120" s="238"/>
      <c r="I120" s="238"/>
    </row>
    <row r="121" spans="1:10" ht="27" customHeight="1" x14ac:dyDescent="0.3">
      <c r="A121" s="385"/>
      <c r="B121" s="260"/>
      <c r="C121" s="238"/>
      <c r="D121" s="238"/>
      <c r="E121" s="238"/>
      <c r="F121" s="331"/>
      <c r="G121" s="238"/>
      <c r="H121" s="238"/>
      <c r="I121" s="238"/>
    </row>
    <row r="122" spans="1:10" ht="25.5" customHeight="1" x14ac:dyDescent="0.3">
      <c r="A122" s="385"/>
      <c r="B122" s="260"/>
      <c r="C122" s="238"/>
      <c r="D122" s="238"/>
      <c r="E122" s="238"/>
      <c r="F122" s="331"/>
      <c r="G122" s="238"/>
      <c r="H122" s="238"/>
      <c r="I122" s="238"/>
    </row>
    <row r="123" spans="1:10" ht="18.75" x14ac:dyDescent="0.3">
      <c r="A123" s="385"/>
      <c r="B123" s="260"/>
      <c r="C123" s="238"/>
      <c r="D123" s="238"/>
      <c r="E123" s="238"/>
      <c r="F123" s="331"/>
      <c r="G123" s="238"/>
      <c r="H123" s="238"/>
      <c r="I123" s="238"/>
    </row>
    <row r="124" spans="1:10" ht="45.75" customHeight="1" x14ac:dyDescent="0.65">
      <c r="A124" s="248" t="s">
        <v>106</v>
      </c>
      <c r="B124" s="337" t="s">
        <v>126</v>
      </c>
      <c r="C124" s="628" t="str">
        <f>B26</f>
        <v>Nevirapine</v>
      </c>
      <c r="D124" s="628"/>
      <c r="E124" s="338" t="s">
        <v>127</v>
      </c>
      <c r="F124" s="338"/>
      <c r="G124" s="424">
        <f>F115</f>
        <v>94.467435589520491</v>
      </c>
      <c r="H124" s="238"/>
      <c r="I124" s="238"/>
    </row>
    <row r="125" spans="1:10" ht="45.75" customHeight="1" x14ac:dyDescent="0.65">
      <c r="A125" s="248"/>
      <c r="B125" s="337" t="s">
        <v>128</v>
      </c>
      <c r="C125" s="249" t="s">
        <v>129</v>
      </c>
      <c r="D125" s="424">
        <f>MIN(F108:F113)</f>
        <v>92.613575567859783</v>
      </c>
      <c r="E125" s="349" t="s">
        <v>130</v>
      </c>
      <c r="F125" s="424">
        <f>MAX(F108:F113)</f>
        <v>97.169022295746117</v>
      </c>
      <c r="G125" s="339"/>
      <c r="H125" s="238"/>
      <c r="I125" s="238"/>
    </row>
    <row r="126" spans="1:10" ht="19.5" customHeight="1" x14ac:dyDescent="0.3">
      <c r="A126" s="377"/>
      <c r="B126" s="377"/>
      <c r="C126" s="378"/>
      <c r="D126" s="378"/>
      <c r="E126" s="378"/>
      <c r="F126" s="378"/>
      <c r="G126" s="378"/>
      <c r="H126" s="378"/>
    </row>
    <row r="127" spans="1:10" ht="18.75" x14ac:dyDescent="0.3">
      <c r="B127" s="629" t="s">
        <v>26</v>
      </c>
      <c r="C127" s="629"/>
      <c r="E127" s="344" t="s">
        <v>27</v>
      </c>
      <c r="F127" s="379"/>
      <c r="G127" s="629" t="s">
        <v>28</v>
      </c>
      <c r="H127" s="629"/>
    </row>
    <row r="128" spans="1:10" ht="69.95" customHeight="1" x14ac:dyDescent="0.3">
      <c r="A128" s="380" t="s">
        <v>29</v>
      </c>
      <c r="B128" s="381"/>
      <c r="C128" s="381"/>
      <c r="E128" s="381"/>
      <c r="F128" s="238"/>
      <c r="G128" s="382"/>
      <c r="H128" s="382"/>
    </row>
    <row r="129" spans="1:9" ht="69.95" customHeight="1" x14ac:dyDescent="0.3">
      <c r="A129" s="380" t="s">
        <v>30</v>
      </c>
      <c r="B129" s="383"/>
      <c r="C129" s="383"/>
      <c r="E129" s="383"/>
      <c r="F129" s="238"/>
      <c r="G129" s="384"/>
      <c r="H129" s="384"/>
    </row>
    <row r="130" spans="1:9" ht="18.75" x14ac:dyDescent="0.3">
      <c r="A130" s="330"/>
      <c r="B130" s="330"/>
      <c r="C130" s="331"/>
      <c r="D130" s="331"/>
      <c r="E130" s="331"/>
      <c r="F130" s="334"/>
      <c r="G130" s="331"/>
      <c r="H130" s="331"/>
      <c r="I130" s="238"/>
    </row>
    <row r="131" spans="1:9" ht="18.75" x14ac:dyDescent="0.3">
      <c r="A131" s="330"/>
      <c r="B131" s="330"/>
      <c r="C131" s="331"/>
      <c r="D131" s="331"/>
      <c r="E131" s="331"/>
      <c r="F131" s="334"/>
      <c r="G131" s="331"/>
      <c r="H131" s="331"/>
      <c r="I131" s="238"/>
    </row>
    <row r="132" spans="1:9" ht="18.75" x14ac:dyDescent="0.3">
      <c r="A132" s="330"/>
      <c r="B132" s="330"/>
      <c r="C132" s="331"/>
      <c r="D132" s="331"/>
      <c r="E132" s="331"/>
      <c r="F132" s="334"/>
      <c r="G132" s="331"/>
      <c r="H132" s="331"/>
      <c r="I132" s="238"/>
    </row>
    <row r="133" spans="1:9" ht="18.75" x14ac:dyDescent="0.3">
      <c r="A133" s="330"/>
      <c r="B133" s="330"/>
      <c r="C133" s="331"/>
      <c r="D133" s="331"/>
      <c r="E133" s="331"/>
      <c r="F133" s="334"/>
      <c r="G133" s="331"/>
      <c r="H133" s="331"/>
      <c r="I133" s="238"/>
    </row>
    <row r="134" spans="1:9" ht="18.75" x14ac:dyDescent="0.3">
      <c r="A134" s="330"/>
      <c r="B134" s="330"/>
      <c r="C134" s="331"/>
      <c r="D134" s="331"/>
      <c r="E134" s="331"/>
      <c r="F134" s="334"/>
      <c r="G134" s="331"/>
      <c r="H134" s="331"/>
      <c r="I134" s="238"/>
    </row>
    <row r="135" spans="1:9" ht="18.75" x14ac:dyDescent="0.3">
      <c r="A135" s="330"/>
      <c r="B135" s="330"/>
      <c r="C135" s="331"/>
      <c r="D135" s="331"/>
      <c r="E135" s="331"/>
      <c r="F135" s="334"/>
      <c r="G135" s="331"/>
      <c r="H135" s="331"/>
      <c r="I135" s="238"/>
    </row>
    <row r="136" spans="1:9" ht="18.75" x14ac:dyDescent="0.3">
      <c r="A136" s="330"/>
      <c r="B136" s="330"/>
      <c r="C136" s="331"/>
      <c r="D136" s="331"/>
      <c r="E136" s="331"/>
      <c r="F136" s="334"/>
      <c r="G136" s="331"/>
      <c r="H136" s="331"/>
      <c r="I136" s="238"/>
    </row>
    <row r="137" spans="1:9" ht="18.75" x14ac:dyDescent="0.3">
      <c r="A137" s="330"/>
      <c r="B137" s="330"/>
      <c r="C137" s="331"/>
      <c r="D137" s="331"/>
      <c r="E137" s="331"/>
      <c r="F137" s="334"/>
      <c r="G137" s="331"/>
      <c r="H137" s="331"/>
      <c r="I137" s="238"/>
    </row>
    <row r="138" spans="1:9" ht="18.75" x14ac:dyDescent="0.3">
      <c r="A138" s="330"/>
      <c r="B138" s="330"/>
      <c r="C138" s="331"/>
      <c r="D138" s="331"/>
      <c r="E138" s="331"/>
      <c r="F138" s="334"/>
      <c r="G138" s="331"/>
      <c r="H138" s="331"/>
      <c r="I138" s="23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BreakPreview" topLeftCell="B75" zoomScale="70" zoomScaleNormal="40" zoomScaleSheetLayoutView="70" zoomScalePageLayoutView="50" workbookViewId="0">
      <selection activeCell="B86" sqref="B86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22" t="s">
        <v>45</v>
      </c>
      <c r="B1" s="622"/>
      <c r="C1" s="622"/>
      <c r="D1" s="622"/>
      <c r="E1" s="622"/>
      <c r="F1" s="622"/>
      <c r="G1" s="622"/>
      <c r="H1" s="622"/>
      <c r="I1" s="622"/>
    </row>
    <row r="2" spans="1:9" ht="18.75" customHeight="1" x14ac:dyDescent="0.25">
      <c r="A2" s="622"/>
      <c r="B2" s="622"/>
      <c r="C2" s="622"/>
      <c r="D2" s="622"/>
      <c r="E2" s="622"/>
      <c r="F2" s="622"/>
      <c r="G2" s="622"/>
      <c r="H2" s="622"/>
      <c r="I2" s="622"/>
    </row>
    <row r="3" spans="1:9" ht="18.75" customHeight="1" x14ac:dyDescent="0.25">
      <c r="A3" s="622"/>
      <c r="B3" s="622"/>
      <c r="C3" s="622"/>
      <c r="D3" s="622"/>
      <c r="E3" s="622"/>
      <c r="F3" s="622"/>
      <c r="G3" s="622"/>
      <c r="H3" s="622"/>
      <c r="I3" s="622"/>
    </row>
    <row r="4" spans="1:9" ht="18.75" customHeight="1" x14ac:dyDescent="0.25">
      <c r="A4" s="622"/>
      <c r="B4" s="622"/>
      <c r="C4" s="622"/>
      <c r="D4" s="622"/>
      <c r="E4" s="622"/>
      <c r="F4" s="622"/>
      <c r="G4" s="622"/>
      <c r="H4" s="622"/>
      <c r="I4" s="622"/>
    </row>
    <row r="5" spans="1:9" ht="18.75" customHeight="1" x14ac:dyDescent="0.25">
      <c r="A5" s="622"/>
      <c r="B5" s="622"/>
      <c r="C5" s="622"/>
      <c r="D5" s="622"/>
      <c r="E5" s="622"/>
      <c r="F5" s="622"/>
      <c r="G5" s="622"/>
      <c r="H5" s="622"/>
      <c r="I5" s="622"/>
    </row>
    <row r="6" spans="1:9" ht="18.75" customHeight="1" x14ac:dyDescent="0.25">
      <c r="A6" s="622"/>
      <c r="B6" s="622"/>
      <c r="C6" s="622"/>
      <c r="D6" s="622"/>
      <c r="E6" s="622"/>
      <c r="F6" s="622"/>
      <c r="G6" s="622"/>
      <c r="H6" s="622"/>
      <c r="I6" s="622"/>
    </row>
    <row r="7" spans="1:9" ht="18.75" customHeight="1" x14ac:dyDescent="0.25">
      <c r="A7" s="622"/>
      <c r="B7" s="622"/>
      <c r="C7" s="622"/>
      <c r="D7" s="622"/>
      <c r="E7" s="622"/>
      <c r="F7" s="622"/>
      <c r="G7" s="622"/>
      <c r="H7" s="622"/>
      <c r="I7" s="622"/>
    </row>
    <row r="8" spans="1:9" x14ac:dyDescent="0.25">
      <c r="A8" s="623" t="s">
        <v>46</v>
      </c>
      <c r="B8" s="623"/>
      <c r="C8" s="623"/>
      <c r="D8" s="623"/>
      <c r="E8" s="623"/>
      <c r="F8" s="623"/>
      <c r="G8" s="623"/>
      <c r="H8" s="623"/>
      <c r="I8" s="623"/>
    </row>
    <row r="9" spans="1:9" x14ac:dyDescent="0.25">
      <c r="A9" s="623"/>
      <c r="B9" s="623"/>
      <c r="C9" s="623"/>
      <c r="D9" s="623"/>
      <c r="E9" s="623"/>
      <c r="F9" s="623"/>
      <c r="G9" s="623"/>
      <c r="H9" s="623"/>
      <c r="I9" s="623"/>
    </row>
    <row r="10" spans="1:9" x14ac:dyDescent="0.25">
      <c r="A10" s="623"/>
      <c r="B10" s="623"/>
      <c r="C10" s="623"/>
      <c r="D10" s="623"/>
      <c r="E10" s="623"/>
      <c r="F10" s="623"/>
      <c r="G10" s="623"/>
      <c r="H10" s="623"/>
      <c r="I10" s="623"/>
    </row>
    <row r="11" spans="1:9" x14ac:dyDescent="0.25">
      <c r="A11" s="623"/>
      <c r="B11" s="623"/>
      <c r="C11" s="623"/>
      <c r="D11" s="623"/>
      <c r="E11" s="623"/>
      <c r="F11" s="623"/>
      <c r="G11" s="623"/>
      <c r="H11" s="623"/>
      <c r="I11" s="623"/>
    </row>
    <row r="12" spans="1:9" x14ac:dyDescent="0.25">
      <c r="A12" s="623"/>
      <c r="B12" s="623"/>
      <c r="C12" s="623"/>
      <c r="D12" s="623"/>
      <c r="E12" s="623"/>
      <c r="F12" s="623"/>
      <c r="G12" s="623"/>
      <c r="H12" s="623"/>
      <c r="I12" s="623"/>
    </row>
    <row r="13" spans="1:9" x14ac:dyDescent="0.25">
      <c r="A13" s="623"/>
      <c r="B13" s="623"/>
      <c r="C13" s="623"/>
      <c r="D13" s="623"/>
      <c r="E13" s="623"/>
      <c r="F13" s="623"/>
      <c r="G13" s="623"/>
      <c r="H13" s="623"/>
      <c r="I13" s="623"/>
    </row>
    <row r="14" spans="1:9" x14ac:dyDescent="0.25">
      <c r="A14" s="623"/>
      <c r="B14" s="623"/>
      <c r="C14" s="623"/>
      <c r="D14" s="623"/>
      <c r="E14" s="623"/>
      <c r="F14" s="623"/>
      <c r="G14" s="623"/>
      <c r="H14" s="623"/>
      <c r="I14" s="623"/>
    </row>
    <row r="15" spans="1:9" ht="19.5" customHeight="1" x14ac:dyDescent="0.3">
      <c r="A15" s="426"/>
    </row>
    <row r="16" spans="1:9" ht="19.5" customHeight="1" x14ac:dyDescent="0.3">
      <c r="A16" s="655" t="s">
        <v>31</v>
      </c>
      <c r="B16" s="656"/>
      <c r="C16" s="656"/>
      <c r="D16" s="656"/>
      <c r="E16" s="656"/>
      <c r="F16" s="656"/>
      <c r="G16" s="656"/>
      <c r="H16" s="657"/>
    </row>
    <row r="17" spans="1:14" ht="20.25" customHeight="1" x14ac:dyDescent="0.25">
      <c r="A17" s="658" t="s">
        <v>47</v>
      </c>
      <c r="B17" s="658"/>
      <c r="C17" s="658"/>
      <c r="D17" s="658"/>
      <c r="E17" s="658"/>
      <c r="F17" s="658"/>
      <c r="G17" s="658"/>
      <c r="H17" s="658"/>
    </row>
    <row r="18" spans="1:14" ht="26.25" customHeight="1" x14ac:dyDescent="0.4">
      <c r="A18" s="428" t="s">
        <v>33</v>
      </c>
      <c r="B18" s="654" t="s">
        <v>5</v>
      </c>
      <c r="C18" s="654"/>
      <c r="D18" s="574"/>
      <c r="E18" s="429"/>
      <c r="F18" s="430"/>
      <c r="G18" s="430"/>
      <c r="H18" s="430"/>
    </row>
    <row r="19" spans="1:14" ht="26.25" customHeight="1" x14ac:dyDescent="0.4">
      <c r="A19" s="428" t="s">
        <v>34</v>
      </c>
      <c r="B19" s="431" t="s">
        <v>7</v>
      </c>
      <c r="C19" s="583">
        <v>1</v>
      </c>
      <c r="D19" s="430"/>
      <c r="E19" s="430"/>
      <c r="F19" s="430"/>
      <c r="G19" s="430"/>
      <c r="H19" s="430"/>
    </row>
    <row r="20" spans="1:14" ht="26.25" customHeight="1" x14ac:dyDescent="0.4">
      <c r="A20" s="428" t="s">
        <v>35</v>
      </c>
      <c r="B20" s="659" t="s">
        <v>131</v>
      </c>
      <c r="C20" s="659"/>
      <c r="D20" s="430"/>
      <c r="E20" s="430"/>
      <c r="F20" s="430"/>
      <c r="G20" s="430"/>
      <c r="H20" s="430"/>
    </row>
    <row r="21" spans="1:14" ht="26.25" customHeight="1" x14ac:dyDescent="0.4">
      <c r="A21" s="428" t="s">
        <v>36</v>
      </c>
      <c r="B21" s="659" t="s">
        <v>11</v>
      </c>
      <c r="C21" s="659"/>
      <c r="D21" s="659"/>
      <c r="E21" s="659"/>
      <c r="F21" s="659"/>
      <c r="G21" s="659"/>
      <c r="H21" s="659"/>
      <c r="I21" s="432"/>
    </row>
    <row r="22" spans="1:14" ht="26.25" customHeight="1" x14ac:dyDescent="0.4">
      <c r="A22" s="428" t="s">
        <v>37</v>
      </c>
      <c r="B22" s="433">
        <v>42975</v>
      </c>
      <c r="C22" s="430"/>
      <c r="D22" s="430"/>
      <c r="E22" s="430"/>
      <c r="F22" s="430"/>
      <c r="G22" s="430"/>
      <c r="H22" s="430"/>
    </row>
    <row r="23" spans="1:14" ht="26.25" customHeight="1" x14ac:dyDescent="0.4">
      <c r="A23" s="428" t="s">
        <v>38</v>
      </c>
      <c r="B23" s="433">
        <v>42978</v>
      </c>
      <c r="C23" s="430"/>
      <c r="D23" s="430"/>
      <c r="E23" s="430"/>
      <c r="F23" s="430"/>
      <c r="G23" s="430"/>
      <c r="H23" s="430"/>
    </row>
    <row r="24" spans="1:14" ht="18.75" x14ac:dyDescent="0.3">
      <c r="A24" s="428"/>
      <c r="B24" s="434"/>
    </row>
    <row r="25" spans="1:14" ht="18.75" x14ac:dyDescent="0.3">
      <c r="A25" s="435" t="s">
        <v>1</v>
      </c>
      <c r="B25" s="434"/>
    </row>
    <row r="26" spans="1:14" ht="26.25" customHeight="1" x14ac:dyDescent="0.4">
      <c r="A26" s="436" t="s">
        <v>4</v>
      </c>
      <c r="B26" s="654" t="s">
        <v>131</v>
      </c>
      <c r="C26" s="654"/>
    </row>
    <row r="27" spans="1:14" ht="26.25" customHeight="1" x14ac:dyDescent="0.4">
      <c r="A27" s="437" t="s">
        <v>48</v>
      </c>
      <c r="B27" s="660" t="s">
        <v>132</v>
      </c>
      <c r="C27" s="660"/>
    </row>
    <row r="28" spans="1:14" ht="27" customHeight="1" x14ac:dyDescent="0.4">
      <c r="A28" s="437" t="s">
        <v>6</v>
      </c>
      <c r="B28" s="438">
        <v>99.65</v>
      </c>
    </row>
    <row r="29" spans="1:14" s="3" customFormat="1" ht="27" customHeight="1" x14ac:dyDescent="0.4">
      <c r="A29" s="437" t="s">
        <v>49</v>
      </c>
      <c r="B29" s="439">
        <v>0</v>
      </c>
      <c r="C29" s="630" t="s">
        <v>50</v>
      </c>
      <c r="D29" s="631"/>
      <c r="E29" s="631"/>
      <c r="F29" s="631"/>
      <c r="G29" s="632"/>
      <c r="I29" s="440"/>
      <c r="J29" s="440"/>
      <c r="K29" s="440"/>
      <c r="L29" s="440"/>
    </row>
    <row r="30" spans="1:14" s="3" customFormat="1" ht="19.5" customHeight="1" x14ac:dyDescent="0.3">
      <c r="A30" s="437" t="s">
        <v>51</v>
      </c>
      <c r="B30" s="441">
        <f>B28-B29</f>
        <v>99.65</v>
      </c>
      <c r="C30" s="442"/>
      <c r="D30" s="442"/>
      <c r="E30" s="442"/>
      <c r="F30" s="442"/>
      <c r="G30" s="443"/>
      <c r="I30" s="440"/>
      <c r="J30" s="440"/>
      <c r="K30" s="440"/>
      <c r="L30" s="440"/>
    </row>
    <row r="31" spans="1:14" s="3" customFormat="1" ht="27" customHeight="1" x14ac:dyDescent="0.4">
      <c r="A31" s="437" t="s">
        <v>52</v>
      </c>
      <c r="B31" s="444">
        <v>1</v>
      </c>
      <c r="C31" s="633" t="s">
        <v>53</v>
      </c>
      <c r="D31" s="634"/>
      <c r="E31" s="634"/>
      <c r="F31" s="634"/>
      <c r="G31" s="634"/>
      <c r="H31" s="635"/>
      <c r="I31" s="440"/>
      <c r="J31" s="440"/>
      <c r="K31" s="440"/>
      <c r="L31" s="440"/>
    </row>
    <row r="32" spans="1:14" s="3" customFormat="1" ht="27" customHeight="1" x14ac:dyDescent="0.4">
      <c r="A32" s="437" t="s">
        <v>54</v>
      </c>
      <c r="B32" s="444">
        <v>1</v>
      </c>
      <c r="C32" s="633" t="s">
        <v>55</v>
      </c>
      <c r="D32" s="634"/>
      <c r="E32" s="634"/>
      <c r="F32" s="634"/>
      <c r="G32" s="634"/>
      <c r="H32" s="635"/>
      <c r="I32" s="440"/>
      <c r="J32" s="440"/>
      <c r="K32" s="440"/>
      <c r="L32" s="445"/>
      <c r="M32" s="445"/>
      <c r="N32" s="446"/>
    </row>
    <row r="33" spans="1:14" s="3" customFormat="1" ht="17.25" customHeight="1" x14ac:dyDescent="0.3">
      <c r="A33" s="437"/>
      <c r="B33" s="447"/>
      <c r="C33" s="448"/>
      <c r="D33" s="448"/>
      <c r="E33" s="448"/>
      <c r="F33" s="448"/>
      <c r="G33" s="448"/>
      <c r="H33" s="448"/>
      <c r="I33" s="440"/>
      <c r="J33" s="440"/>
      <c r="K33" s="440"/>
      <c r="L33" s="445"/>
      <c r="M33" s="445"/>
      <c r="N33" s="446"/>
    </row>
    <row r="34" spans="1:14" s="3" customFormat="1" ht="18.75" x14ac:dyDescent="0.3">
      <c r="A34" s="437" t="s">
        <v>56</v>
      </c>
      <c r="B34" s="449">
        <f>B31/B32</f>
        <v>1</v>
      </c>
      <c r="C34" s="427" t="s">
        <v>57</v>
      </c>
      <c r="D34" s="427"/>
      <c r="E34" s="427"/>
      <c r="F34" s="427"/>
      <c r="G34" s="427"/>
      <c r="I34" s="440"/>
      <c r="J34" s="440"/>
      <c r="K34" s="440"/>
      <c r="L34" s="445"/>
      <c r="M34" s="445"/>
      <c r="N34" s="446"/>
    </row>
    <row r="35" spans="1:14" s="3" customFormat="1" ht="19.5" customHeight="1" x14ac:dyDescent="0.3">
      <c r="A35" s="437"/>
      <c r="B35" s="441"/>
      <c r="G35" s="427"/>
      <c r="I35" s="440"/>
      <c r="J35" s="440"/>
      <c r="K35" s="440"/>
      <c r="L35" s="445"/>
      <c r="M35" s="445"/>
      <c r="N35" s="446"/>
    </row>
    <row r="36" spans="1:14" s="3" customFormat="1" ht="27" customHeight="1" x14ac:dyDescent="0.4">
      <c r="A36" s="450" t="s">
        <v>58</v>
      </c>
      <c r="B36" s="451">
        <v>20</v>
      </c>
      <c r="C36" s="427"/>
      <c r="D36" s="636" t="s">
        <v>59</v>
      </c>
      <c r="E36" s="661"/>
      <c r="F36" s="636" t="s">
        <v>60</v>
      </c>
      <c r="G36" s="637"/>
      <c r="J36" s="440"/>
      <c r="K36" s="440"/>
      <c r="L36" s="445"/>
      <c r="M36" s="445"/>
      <c r="N36" s="446"/>
    </row>
    <row r="37" spans="1:14" s="3" customFormat="1" ht="27" customHeight="1" x14ac:dyDescent="0.4">
      <c r="A37" s="452" t="s">
        <v>61</v>
      </c>
      <c r="B37" s="453">
        <v>4</v>
      </c>
      <c r="C37" s="454" t="s">
        <v>62</v>
      </c>
      <c r="D37" s="455" t="s">
        <v>63</v>
      </c>
      <c r="E37" s="456" t="s">
        <v>64</v>
      </c>
      <c r="F37" s="455" t="s">
        <v>63</v>
      </c>
      <c r="G37" s="457" t="s">
        <v>64</v>
      </c>
      <c r="I37" s="458" t="s">
        <v>65</v>
      </c>
      <c r="J37" s="440"/>
      <c r="K37" s="440"/>
      <c r="L37" s="445"/>
      <c r="M37" s="445"/>
      <c r="N37" s="446"/>
    </row>
    <row r="38" spans="1:14" s="3" customFormat="1" ht="26.25" customHeight="1" x14ac:dyDescent="0.4">
      <c r="A38" s="452" t="s">
        <v>66</v>
      </c>
      <c r="B38" s="453">
        <v>20</v>
      </c>
      <c r="C38" s="459">
        <v>1</v>
      </c>
      <c r="D38" s="460">
        <v>66843689</v>
      </c>
      <c r="E38" s="461">
        <f>IF(ISBLANK(D38),"-",$D$48/$D$45*D38)</f>
        <v>67984929.347310171</v>
      </c>
      <c r="F38" s="460">
        <v>68160735</v>
      </c>
      <c r="G38" s="462">
        <f>IF(ISBLANK(F38),"-",$D$48/$F$45*F38)</f>
        <v>67902186.109357595</v>
      </c>
      <c r="I38" s="463"/>
      <c r="J38" s="440"/>
      <c r="K38" s="440"/>
      <c r="L38" s="445"/>
      <c r="M38" s="445"/>
      <c r="N38" s="446"/>
    </row>
    <row r="39" spans="1:14" s="3" customFormat="1" ht="26.25" customHeight="1" x14ac:dyDescent="0.4">
      <c r="A39" s="452" t="s">
        <v>67</v>
      </c>
      <c r="B39" s="453">
        <v>1</v>
      </c>
      <c r="C39" s="464">
        <v>2</v>
      </c>
      <c r="D39" s="465">
        <v>66995928</v>
      </c>
      <c r="E39" s="466">
        <f>IF(ISBLANK(D39),"-",$D$48/$D$45*D39)</f>
        <v>68139767.564855352</v>
      </c>
      <c r="F39" s="465">
        <v>67668534</v>
      </c>
      <c r="G39" s="467">
        <f>IF(ISBLANK(F39),"-",$D$48/$F$45*F39)</f>
        <v>67411852.137677103</v>
      </c>
      <c r="I39" s="638">
        <f>ABS((F43/D43*D42)-F42)/D42</f>
        <v>4.7255270450369483E-3</v>
      </c>
      <c r="J39" s="440"/>
      <c r="K39" s="440"/>
      <c r="L39" s="445"/>
      <c r="M39" s="445"/>
      <c r="N39" s="446"/>
    </row>
    <row r="40" spans="1:14" ht="26.25" customHeight="1" x14ac:dyDescent="0.4">
      <c r="A40" s="452" t="s">
        <v>68</v>
      </c>
      <c r="B40" s="453">
        <v>1</v>
      </c>
      <c r="C40" s="464">
        <v>3</v>
      </c>
      <c r="D40" s="465">
        <v>66943237</v>
      </c>
      <c r="E40" s="466">
        <f>IF(ISBLANK(D40),"-",$D$48/$D$45*D40)</f>
        <v>68086176.95718798</v>
      </c>
      <c r="F40" s="465">
        <v>68210367</v>
      </c>
      <c r="G40" s="467">
        <f>IF(ISBLANK(F40),"-",$D$48/$F$45*F40)</f>
        <v>67951629.844096959</v>
      </c>
      <c r="I40" s="638"/>
      <c r="L40" s="445"/>
      <c r="M40" s="445"/>
      <c r="N40" s="468"/>
    </row>
    <row r="41" spans="1:14" ht="27" customHeight="1" x14ac:dyDescent="0.4">
      <c r="A41" s="452" t="s">
        <v>69</v>
      </c>
      <c r="B41" s="453">
        <v>1</v>
      </c>
      <c r="C41" s="469">
        <v>4</v>
      </c>
      <c r="D41" s="470"/>
      <c r="E41" s="471" t="str">
        <f>IF(ISBLANK(D41),"-",$D$48/$D$45*D41)</f>
        <v>-</v>
      </c>
      <c r="F41" s="470"/>
      <c r="G41" s="472" t="str">
        <f>IF(ISBLANK(F41),"-",$D$48/$F$45*F41)</f>
        <v>-</v>
      </c>
      <c r="I41" s="473"/>
      <c r="L41" s="445"/>
      <c r="M41" s="445"/>
      <c r="N41" s="468"/>
    </row>
    <row r="42" spans="1:14" ht="27" customHeight="1" x14ac:dyDescent="0.4">
      <c r="A42" s="452" t="s">
        <v>70</v>
      </c>
      <c r="B42" s="453">
        <v>1</v>
      </c>
      <c r="C42" s="474" t="s">
        <v>71</v>
      </c>
      <c r="D42" s="475">
        <f>AVERAGE(D38:D41)</f>
        <v>66927618</v>
      </c>
      <c r="E42" s="476">
        <f>AVERAGE(E38:E41)</f>
        <v>68070291.289784506</v>
      </c>
      <c r="F42" s="475">
        <f>AVERAGE(F38:F41)</f>
        <v>68013212</v>
      </c>
      <c r="G42" s="477">
        <f>AVERAGE(G38:G41)</f>
        <v>67755222.697043881</v>
      </c>
      <c r="H42" s="478"/>
    </row>
    <row r="43" spans="1:14" ht="26.25" customHeight="1" x14ac:dyDescent="0.4">
      <c r="A43" s="452" t="s">
        <v>72</v>
      </c>
      <c r="B43" s="453">
        <v>1</v>
      </c>
      <c r="C43" s="479" t="s">
        <v>73</v>
      </c>
      <c r="D43" s="480">
        <v>29.6</v>
      </c>
      <c r="E43" s="468"/>
      <c r="F43" s="480">
        <v>30.22</v>
      </c>
      <c r="H43" s="478"/>
    </row>
    <row r="44" spans="1:14" ht="26.25" customHeight="1" x14ac:dyDescent="0.4">
      <c r="A44" s="452" t="s">
        <v>74</v>
      </c>
      <c r="B44" s="453">
        <v>1</v>
      </c>
      <c r="C44" s="481" t="s">
        <v>75</v>
      </c>
      <c r="D44" s="482">
        <f>D43*$B$34</f>
        <v>29.6</v>
      </c>
      <c r="E44" s="483"/>
      <c r="F44" s="482">
        <f>F43*$B$34</f>
        <v>30.22</v>
      </c>
      <c r="H44" s="478"/>
    </row>
    <row r="45" spans="1:14" ht="19.5" customHeight="1" x14ac:dyDescent="0.3">
      <c r="A45" s="452" t="s">
        <v>76</v>
      </c>
      <c r="B45" s="484">
        <f>(B44/B43)*(B42/B41)*(B40/B39)*(B38/B37)*B36</f>
        <v>100</v>
      </c>
      <c r="C45" s="481" t="s">
        <v>77</v>
      </c>
      <c r="D45" s="485">
        <f>D44*$B$30/100</f>
        <v>29.496400000000005</v>
      </c>
      <c r="E45" s="486"/>
      <c r="F45" s="485">
        <f>F44*$B$30/100</f>
        <v>30.114230000000003</v>
      </c>
      <c r="H45" s="478"/>
    </row>
    <row r="46" spans="1:14" ht="19.5" customHeight="1" x14ac:dyDescent="0.3">
      <c r="A46" s="624" t="s">
        <v>78</v>
      </c>
      <c r="B46" s="625"/>
      <c r="C46" s="481" t="s">
        <v>79</v>
      </c>
      <c r="D46" s="487">
        <f>D45/$B$45</f>
        <v>0.29496400000000006</v>
      </c>
      <c r="E46" s="488"/>
      <c r="F46" s="489">
        <f>F45/$B$45</f>
        <v>0.30114230000000003</v>
      </c>
      <c r="H46" s="478"/>
    </row>
    <row r="47" spans="1:14" ht="27" customHeight="1" x14ac:dyDescent="0.4">
      <c r="A47" s="626"/>
      <c r="B47" s="627"/>
      <c r="C47" s="490" t="s">
        <v>80</v>
      </c>
      <c r="D47" s="491">
        <v>0.3</v>
      </c>
      <c r="E47" s="492"/>
      <c r="F47" s="488"/>
      <c r="H47" s="478"/>
    </row>
    <row r="48" spans="1:14" ht="18.75" x14ac:dyDescent="0.3">
      <c r="C48" s="493" t="s">
        <v>81</v>
      </c>
      <c r="D48" s="485">
        <f>D47*$B$45</f>
        <v>30</v>
      </c>
      <c r="F48" s="494"/>
      <c r="H48" s="478"/>
    </row>
    <row r="49" spans="1:12" ht="19.5" customHeight="1" x14ac:dyDescent="0.3">
      <c r="C49" s="495" t="s">
        <v>82</v>
      </c>
      <c r="D49" s="496">
        <f>D48/B34</f>
        <v>30</v>
      </c>
      <c r="F49" s="494"/>
      <c r="H49" s="478"/>
    </row>
    <row r="50" spans="1:12" ht="18.75" x14ac:dyDescent="0.3">
      <c r="C50" s="450" t="s">
        <v>83</v>
      </c>
      <c r="D50" s="497">
        <f>AVERAGE(E38:E41,G38:G41)</f>
        <v>67912756.993414193</v>
      </c>
      <c r="F50" s="498"/>
      <c r="H50" s="478"/>
    </row>
    <row r="51" spans="1:12" ht="18.75" x14ac:dyDescent="0.3">
      <c r="C51" s="452" t="s">
        <v>84</v>
      </c>
      <c r="D51" s="499">
        <f>STDEV(E38:E41,G38:G41)/D50</f>
        <v>3.8360545883729122E-3</v>
      </c>
      <c r="F51" s="498"/>
      <c r="H51" s="478"/>
    </row>
    <row r="52" spans="1:12" ht="19.5" customHeight="1" x14ac:dyDescent="0.3">
      <c r="C52" s="500" t="s">
        <v>20</v>
      </c>
      <c r="D52" s="501">
        <f>COUNT(E38:E41,G38:G41)</f>
        <v>6</v>
      </c>
      <c r="F52" s="498"/>
    </row>
    <row r="54" spans="1:12" ht="18.75" x14ac:dyDescent="0.3">
      <c r="A54" s="502" t="s">
        <v>1</v>
      </c>
      <c r="B54" s="503" t="s">
        <v>85</v>
      </c>
    </row>
    <row r="55" spans="1:12" ht="18.75" x14ac:dyDescent="0.3">
      <c r="A55" s="427" t="s">
        <v>86</v>
      </c>
      <c r="B55" s="504" t="str">
        <f>B21</f>
        <v>Each Film Coated Tablet Contains Lamivudine USP 150MG, Nevirapine USP 200MG, Zidovudine USP 300MG</v>
      </c>
    </row>
    <row r="56" spans="1:12" ht="26.25" customHeight="1" x14ac:dyDescent="0.4">
      <c r="A56" s="505" t="s">
        <v>87</v>
      </c>
      <c r="B56" s="506">
        <v>300</v>
      </c>
      <c r="C56" s="427" t="str">
        <f>B20</f>
        <v>Zidovudine</v>
      </c>
      <c r="H56" s="507"/>
    </row>
    <row r="57" spans="1:12" ht="18.75" x14ac:dyDescent="0.3">
      <c r="A57" s="504" t="s">
        <v>88</v>
      </c>
      <c r="B57" s="575">
        <f>Uniformity!C46</f>
        <v>1129.2714999999998</v>
      </c>
      <c r="H57" s="507"/>
    </row>
    <row r="58" spans="1:12" ht="19.5" customHeight="1" x14ac:dyDescent="0.3">
      <c r="H58" s="507"/>
    </row>
    <row r="59" spans="1:12" s="3" customFormat="1" ht="27" customHeight="1" x14ac:dyDescent="0.4">
      <c r="A59" s="450" t="s">
        <v>89</v>
      </c>
      <c r="B59" s="451">
        <v>100</v>
      </c>
      <c r="C59" s="427"/>
      <c r="D59" s="508" t="s">
        <v>90</v>
      </c>
      <c r="E59" s="509" t="s">
        <v>62</v>
      </c>
      <c r="F59" s="509" t="s">
        <v>63</v>
      </c>
      <c r="G59" s="509" t="s">
        <v>91</v>
      </c>
      <c r="H59" s="454" t="s">
        <v>92</v>
      </c>
      <c r="L59" s="440"/>
    </row>
    <row r="60" spans="1:12" s="3" customFormat="1" ht="26.25" customHeight="1" x14ac:dyDescent="0.4">
      <c r="A60" s="452" t="s">
        <v>93</v>
      </c>
      <c r="B60" s="453">
        <v>10</v>
      </c>
      <c r="C60" s="641" t="s">
        <v>94</v>
      </c>
      <c r="D60" s="644">
        <v>1117.18</v>
      </c>
      <c r="E60" s="510">
        <v>1</v>
      </c>
      <c r="F60" s="511">
        <v>65644147</v>
      </c>
      <c r="G60" s="576">
        <f>IF(ISBLANK(F60),"-",(F60/$D$50*$D$47*$B$68)*($B$57/$D$60))</f>
        <v>293.11707491377848</v>
      </c>
      <c r="H60" s="594">
        <f t="shared" ref="H60:H71" si="0">IF(ISBLANK(F60),"-",(G60/$B$56)*100)</f>
        <v>97.705691637926165</v>
      </c>
      <c r="L60" s="440"/>
    </row>
    <row r="61" spans="1:12" s="3" customFormat="1" ht="26.25" customHeight="1" x14ac:dyDescent="0.4">
      <c r="A61" s="452" t="s">
        <v>95</v>
      </c>
      <c r="B61" s="453">
        <v>100</v>
      </c>
      <c r="C61" s="642"/>
      <c r="D61" s="645"/>
      <c r="E61" s="512">
        <v>2</v>
      </c>
      <c r="F61" s="465">
        <v>65540688</v>
      </c>
      <c r="G61" s="577">
        <f>IF(ISBLANK(F61),"-",(F61/$D$50*$D$47*$B$68)*($B$57/$D$60))</f>
        <v>292.65510532716019</v>
      </c>
      <c r="H61" s="595">
        <f t="shared" si="0"/>
        <v>97.551701775720062</v>
      </c>
      <c r="L61" s="440"/>
    </row>
    <row r="62" spans="1:12" s="3" customFormat="1" ht="26.25" customHeight="1" x14ac:dyDescent="0.4">
      <c r="A62" s="452" t="s">
        <v>96</v>
      </c>
      <c r="B62" s="453">
        <v>1</v>
      </c>
      <c r="C62" s="642"/>
      <c r="D62" s="645"/>
      <c r="E62" s="512">
        <v>3</v>
      </c>
      <c r="F62" s="513">
        <v>65487889</v>
      </c>
      <c r="G62" s="577">
        <f>IF(ISBLANK(F62),"-",(F62/$D$50*$D$47*$B$68)*($B$57/$D$60))</f>
        <v>292.41934495634797</v>
      </c>
      <c r="H62" s="595">
        <f t="shared" si="0"/>
        <v>97.473114985449328</v>
      </c>
      <c r="L62" s="440"/>
    </row>
    <row r="63" spans="1:12" ht="27" customHeight="1" x14ac:dyDescent="0.4">
      <c r="A63" s="452" t="s">
        <v>97</v>
      </c>
      <c r="B63" s="453">
        <v>1</v>
      </c>
      <c r="C63" s="651"/>
      <c r="D63" s="646"/>
      <c r="E63" s="514">
        <v>4</v>
      </c>
      <c r="F63" s="515"/>
      <c r="G63" s="577" t="str">
        <f>IF(ISBLANK(F63),"-",(F63/$D$50*$D$47*$B$68)*($B$57/$D$60))</f>
        <v>-</v>
      </c>
      <c r="H63" s="595" t="str">
        <f t="shared" si="0"/>
        <v>-</v>
      </c>
    </row>
    <row r="64" spans="1:12" ht="26.25" customHeight="1" x14ac:dyDescent="0.4">
      <c r="A64" s="452" t="s">
        <v>98</v>
      </c>
      <c r="B64" s="453">
        <v>1</v>
      </c>
      <c r="C64" s="641" t="s">
        <v>99</v>
      </c>
      <c r="D64" s="644">
        <v>1139.69</v>
      </c>
      <c r="E64" s="510">
        <v>1</v>
      </c>
      <c r="F64" s="511">
        <v>66601295</v>
      </c>
      <c r="G64" s="576">
        <f>IF(ISBLANK(F64),"-",(F64/$D$50*$D$47*$B$68)*($B$57/$D$64))</f>
        <v>291.51720879274109</v>
      </c>
      <c r="H64" s="594">
        <f t="shared" si="0"/>
        <v>97.172402930913691</v>
      </c>
    </row>
    <row r="65" spans="1:8" ht="26.25" customHeight="1" x14ac:dyDescent="0.4">
      <c r="A65" s="452" t="s">
        <v>100</v>
      </c>
      <c r="B65" s="453">
        <v>1</v>
      </c>
      <c r="C65" s="642"/>
      <c r="D65" s="645"/>
      <c r="E65" s="512">
        <v>2</v>
      </c>
      <c r="F65" s="465">
        <v>66842444</v>
      </c>
      <c r="G65" s="577">
        <f>IF(ISBLANK(F65),"-",(F65/$D$50*$D$47*$B$68)*($B$57/$D$64))</f>
        <v>292.57273006125638</v>
      </c>
      <c r="H65" s="595">
        <f t="shared" si="0"/>
        <v>97.524243353752126</v>
      </c>
    </row>
    <row r="66" spans="1:8" ht="26.25" customHeight="1" x14ac:dyDescent="0.4">
      <c r="A66" s="452" t="s">
        <v>101</v>
      </c>
      <c r="B66" s="453">
        <v>1</v>
      </c>
      <c r="C66" s="642"/>
      <c r="D66" s="645"/>
      <c r="E66" s="512">
        <v>3</v>
      </c>
      <c r="F66" s="465">
        <v>66853714</v>
      </c>
      <c r="G66" s="577">
        <f>IF(ISBLANK(F66),"-",(F66/$D$50*$D$47*$B$68)*($B$57/$D$64))</f>
        <v>292.62205941653531</v>
      </c>
      <c r="H66" s="595">
        <f t="shared" si="0"/>
        <v>97.540686472178436</v>
      </c>
    </row>
    <row r="67" spans="1:8" ht="27" customHeight="1" x14ac:dyDescent="0.4">
      <c r="A67" s="452" t="s">
        <v>102</v>
      </c>
      <c r="B67" s="453">
        <v>1</v>
      </c>
      <c r="C67" s="651"/>
      <c r="D67" s="646"/>
      <c r="E67" s="514">
        <v>4</v>
      </c>
      <c r="F67" s="515"/>
      <c r="G67" s="593" t="str">
        <f>IF(ISBLANK(F67),"-",(F67/$D$50*$D$47*$B$68)*($B$57/$D$64))</f>
        <v>-</v>
      </c>
      <c r="H67" s="596" t="str">
        <f t="shared" si="0"/>
        <v>-</v>
      </c>
    </row>
    <row r="68" spans="1:8" ht="26.25" customHeight="1" x14ac:dyDescent="0.4">
      <c r="A68" s="452" t="s">
        <v>103</v>
      </c>
      <c r="B68" s="516">
        <f>(B67/B66)*(B65/B64)*(B63/B62)*(B61/B60)*B59</f>
        <v>1000</v>
      </c>
      <c r="C68" s="641" t="s">
        <v>104</v>
      </c>
      <c r="D68" s="644">
        <v>1130.8</v>
      </c>
      <c r="E68" s="510">
        <v>1</v>
      </c>
      <c r="F68" s="511">
        <v>66577545</v>
      </c>
      <c r="G68" s="576">
        <f>IF(ISBLANK(F68),"-",(F68/$D$50*$D$47*$B$68)*($B$57/$D$68))</f>
        <v>293.70425475946865</v>
      </c>
      <c r="H68" s="595">
        <f t="shared" si="0"/>
        <v>97.901418253156208</v>
      </c>
    </row>
    <row r="69" spans="1:8" ht="27" customHeight="1" x14ac:dyDescent="0.4">
      <c r="A69" s="500" t="s">
        <v>105</v>
      </c>
      <c r="B69" s="517">
        <f>(D47*B68)/B56*B57</f>
        <v>1129.2714999999998</v>
      </c>
      <c r="C69" s="642"/>
      <c r="D69" s="645"/>
      <c r="E69" s="512">
        <v>2</v>
      </c>
      <c r="F69" s="465">
        <v>66141929</v>
      </c>
      <c r="G69" s="577">
        <f>IF(ISBLANK(F69),"-",(F69/$D$50*$D$47*$B$68)*($B$57/$D$68))</f>
        <v>291.78255168914217</v>
      </c>
      <c r="H69" s="595">
        <f t="shared" si="0"/>
        <v>97.260850563047384</v>
      </c>
    </row>
    <row r="70" spans="1:8" ht="26.25" customHeight="1" x14ac:dyDescent="0.4">
      <c r="A70" s="647" t="s">
        <v>78</v>
      </c>
      <c r="B70" s="648"/>
      <c r="C70" s="642"/>
      <c r="D70" s="645"/>
      <c r="E70" s="512">
        <v>3</v>
      </c>
      <c r="F70" s="465">
        <v>66530363</v>
      </c>
      <c r="G70" s="577">
        <f>IF(ISBLANK(F70),"-",(F70/$D$50*$D$47*$B$68)*($B$57/$D$68))</f>
        <v>293.4961131984054</v>
      </c>
      <c r="H70" s="595">
        <f t="shared" si="0"/>
        <v>97.832037732801808</v>
      </c>
    </row>
    <row r="71" spans="1:8" ht="27" customHeight="1" x14ac:dyDescent="0.4">
      <c r="A71" s="649"/>
      <c r="B71" s="650"/>
      <c r="C71" s="643"/>
      <c r="D71" s="646"/>
      <c r="E71" s="514">
        <v>4</v>
      </c>
      <c r="F71" s="515"/>
      <c r="G71" s="593" t="str">
        <f>IF(ISBLANK(F71),"-",(F71/$D$50*$D$47*$B$68)*($B$57/$D$68))</f>
        <v>-</v>
      </c>
      <c r="H71" s="596" t="str">
        <f t="shared" si="0"/>
        <v>-</v>
      </c>
    </row>
    <row r="72" spans="1:8" ht="26.25" customHeight="1" x14ac:dyDescent="0.4">
      <c r="A72" s="518"/>
      <c r="B72" s="518"/>
      <c r="C72" s="518"/>
      <c r="D72" s="518"/>
      <c r="E72" s="518"/>
      <c r="F72" s="520" t="s">
        <v>71</v>
      </c>
      <c r="G72" s="582">
        <f>AVERAGE(G60:G71)</f>
        <v>292.65404923498176</v>
      </c>
      <c r="H72" s="597">
        <f>AVERAGE(H60:H71)</f>
        <v>97.551349744993914</v>
      </c>
    </row>
    <row r="73" spans="1:8" ht="26.25" customHeight="1" x14ac:dyDescent="0.4">
      <c r="C73" s="518"/>
      <c r="D73" s="518"/>
      <c r="E73" s="518"/>
      <c r="F73" s="521" t="s">
        <v>84</v>
      </c>
      <c r="G73" s="581">
        <f>STDEV(G60:G71)/G72</f>
        <v>2.458413035830883E-3</v>
      </c>
      <c r="H73" s="581">
        <f>STDEV(H60:H71)/H72</f>
        <v>2.4584130358308981E-3</v>
      </c>
    </row>
    <row r="74" spans="1:8" ht="27" customHeight="1" x14ac:dyDescent="0.4">
      <c r="A74" s="518"/>
      <c r="B74" s="518"/>
      <c r="C74" s="519"/>
      <c r="D74" s="519"/>
      <c r="E74" s="522"/>
      <c r="F74" s="523" t="s">
        <v>20</v>
      </c>
      <c r="G74" s="524">
        <f>COUNT(G60:G71)</f>
        <v>9</v>
      </c>
      <c r="H74" s="524">
        <f>COUNT(H60:H71)</f>
        <v>9</v>
      </c>
    </row>
    <row r="76" spans="1:8" ht="26.25" customHeight="1" x14ac:dyDescent="0.4">
      <c r="A76" s="436" t="s">
        <v>106</v>
      </c>
      <c r="B76" s="525" t="s">
        <v>107</v>
      </c>
      <c r="C76" s="628" t="str">
        <f>B26</f>
        <v>Zidovudine</v>
      </c>
      <c r="D76" s="628"/>
      <c r="E76" s="526" t="s">
        <v>108</v>
      </c>
      <c r="F76" s="526"/>
      <c r="G76" s="613">
        <f>H72</f>
        <v>97.551349744993914</v>
      </c>
      <c r="H76" s="528"/>
    </row>
    <row r="77" spans="1:8" ht="18.75" x14ac:dyDescent="0.3">
      <c r="A77" s="435" t="s">
        <v>109</v>
      </c>
      <c r="B77" s="435" t="s">
        <v>110</v>
      </c>
    </row>
    <row r="78" spans="1:8" ht="18.75" x14ac:dyDescent="0.3">
      <c r="A78" s="435"/>
      <c r="B78" s="435"/>
    </row>
    <row r="79" spans="1:8" ht="26.25" customHeight="1" x14ac:dyDescent="0.4">
      <c r="A79" s="436" t="s">
        <v>4</v>
      </c>
      <c r="B79" s="662" t="str">
        <f>B26</f>
        <v>Zidovudine</v>
      </c>
      <c r="C79" s="662"/>
    </row>
    <row r="80" spans="1:8" ht="26.25" customHeight="1" x14ac:dyDescent="0.4">
      <c r="A80" s="437" t="s">
        <v>48</v>
      </c>
      <c r="B80" s="662" t="str">
        <f>B27</f>
        <v>Z1-3</v>
      </c>
      <c r="C80" s="662"/>
    </row>
    <row r="81" spans="1:12" ht="27" customHeight="1" x14ac:dyDescent="0.4">
      <c r="A81" s="437" t="s">
        <v>6</v>
      </c>
      <c r="B81" s="529">
        <f>B28</f>
        <v>99.65</v>
      </c>
    </row>
    <row r="82" spans="1:12" s="3" customFormat="1" ht="27" customHeight="1" x14ac:dyDescent="0.4">
      <c r="A82" s="437" t="s">
        <v>49</v>
      </c>
      <c r="B82" s="439">
        <v>0</v>
      </c>
      <c r="C82" s="630" t="s">
        <v>50</v>
      </c>
      <c r="D82" s="631"/>
      <c r="E82" s="631"/>
      <c r="F82" s="631"/>
      <c r="G82" s="632"/>
      <c r="I82" s="440"/>
      <c r="J82" s="440"/>
      <c r="K82" s="440"/>
      <c r="L82" s="440"/>
    </row>
    <row r="83" spans="1:12" s="3" customFormat="1" ht="19.5" customHeight="1" x14ac:dyDescent="0.3">
      <c r="A83" s="437" t="s">
        <v>51</v>
      </c>
      <c r="B83" s="441">
        <f>B81-B82</f>
        <v>99.65</v>
      </c>
      <c r="C83" s="442"/>
      <c r="D83" s="442"/>
      <c r="E83" s="442"/>
      <c r="F83" s="442"/>
      <c r="G83" s="443"/>
      <c r="I83" s="440"/>
      <c r="J83" s="440"/>
      <c r="K83" s="440"/>
      <c r="L83" s="440"/>
    </row>
    <row r="84" spans="1:12" s="3" customFormat="1" ht="27" customHeight="1" x14ac:dyDescent="0.4">
      <c r="A84" s="437" t="s">
        <v>52</v>
      </c>
      <c r="B84" s="444">
        <v>1</v>
      </c>
      <c r="C84" s="633" t="s">
        <v>111</v>
      </c>
      <c r="D84" s="634"/>
      <c r="E84" s="634"/>
      <c r="F84" s="634"/>
      <c r="G84" s="634"/>
      <c r="H84" s="635"/>
      <c r="I84" s="440"/>
      <c r="J84" s="440"/>
      <c r="K84" s="440"/>
      <c r="L84" s="440"/>
    </row>
    <row r="85" spans="1:12" s="3" customFormat="1" ht="27" customHeight="1" x14ac:dyDescent="0.4">
      <c r="A85" s="437" t="s">
        <v>54</v>
      </c>
      <c r="B85" s="444">
        <v>1</v>
      </c>
      <c r="C85" s="633" t="s">
        <v>112</v>
      </c>
      <c r="D85" s="634"/>
      <c r="E85" s="634"/>
      <c r="F85" s="634"/>
      <c r="G85" s="634"/>
      <c r="H85" s="635"/>
      <c r="I85" s="440"/>
      <c r="J85" s="440"/>
      <c r="K85" s="440"/>
      <c r="L85" s="440"/>
    </row>
    <row r="86" spans="1:12" s="3" customFormat="1" ht="18.75" x14ac:dyDescent="0.3">
      <c r="A86" s="437"/>
      <c r="B86" s="447"/>
      <c r="C86" s="448"/>
      <c r="D86" s="448"/>
      <c r="E86" s="448"/>
      <c r="F86" s="448"/>
      <c r="G86" s="448"/>
      <c r="H86" s="448"/>
      <c r="I86" s="440"/>
      <c r="J86" s="440"/>
      <c r="K86" s="440"/>
      <c r="L86" s="440"/>
    </row>
    <row r="87" spans="1:12" s="3" customFormat="1" ht="18.75" x14ac:dyDescent="0.3">
      <c r="A87" s="437" t="s">
        <v>56</v>
      </c>
      <c r="B87" s="449">
        <f>B84/B85</f>
        <v>1</v>
      </c>
      <c r="C87" s="427" t="s">
        <v>57</v>
      </c>
      <c r="D87" s="427"/>
      <c r="E87" s="427"/>
      <c r="F87" s="427"/>
      <c r="G87" s="427"/>
      <c r="I87" s="440"/>
      <c r="J87" s="440"/>
      <c r="K87" s="440"/>
      <c r="L87" s="440"/>
    </row>
    <row r="88" spans="1:12" ht="19.5" customHeight="1" x14ac:dyDescent="0.3">
      <c r="A88" s="435"/>
      <c r="B88" s="435"/>
    </row>
    <row r="89" spans="1:12" ht="27" customHeight="1" x14ac:dyDescent="0.4">
      <c r="A89" s="450" t="s">
        <v>58</v>
      </c>
      <c r="B89" s="451">
        <v>20</v>
      </c>
      <c r="D89" s="530" t="s">
        <v>59</v>
      </c>
      <c r="E89" s="531"/>
      <c r="F89" s="636" t="s">
        <v>60</v>
      </c>
      <c r="G89" s="637"/>
    </row>
    <row r="90" spans="1:12" ht="27" customHeight="1" x14ac:dyDescent="0.4">
      <c r="A90" s="452" t="s">
        <v>61</v>
      </c>
      <c r="B90" s="453">
        <v>4</v>
      </c>
      <c r="C90" s="532" t="s">
        <v>62</v>
      </c>
      <c r="D90" s="455" t="s">
        <v>63</v>
      </c>
      <c r="E90" s="456" t="s">
        <v>64</v>
      </c>
      <c r="F90" s="455" t="s">
        <v>63</v>
      </c>
      <c r="G90" s="533" t="s">
        <v>64</v>
      </c>
      <c r="I90" s="458" t="s">
        <v>65</v>
      </c>
    </row>
    <row r="91" spans="1:12" ht="26.25" customHeight="1" x14ac:dyDescent="0.4">
      <c r="A91" s="452" t="s">
        <v>66</v>
      </c>
      <c r="B91" s="453">
        <v>20</v>
      </c>
      <c r="C91" s="534">
        <v>1</v>
      </c>
      <c r="D91" s="460">
        <v>66843689</v>
      </c>
      <c r="E91" s="461">
        <f>IF(ISBLANK(D91),"-",$D$101/$D$98*D91)</f>
        <v>75538810.38590017</v>
      </c>
      <c r="F91" s="460">
        <v>68160735</v>
      </c>
      <c r="G91" s="462">
        <f>IF(ISBLANK(F91),"-",$D$101/$F$98*F91)</f>
        <v>75446873.454841763</v>
      </c>
      <c r="I91" s="463"/>
    </row>
    <row r="92" spans="1:12" ht="26.25" customHeight="1" x14ac:dyDescent="0.4">
      <c r="A92" s="452" t="s">
        <v>67</v>
      </c>
      <c r="B92" s="453">
        <v>1</v>
      </c>
      <c r="C92" s="519">
        <v>2</v>
      </c>
      <c r="D92" s="465">
        <v>66995928</v>
      </c>
      <c r="E92" s="466">
        <f>IF(ISBLANK(D92),"-",$D$101/$D$98*D92)</f>
        <v>75710852.84983927</v>
      </c>
      <c r="F92" s="465">
        <v>67668534</v>
      </c>
      <c r="G92" s="467">
        <f>IF(ISBLANK(F92),"-",$D$101/$F$98*F92)</f>
        <v>74902057.930752322</v>
      </c>
      <c r="I92" s="638">
        <f>ABS((F96/D96*D95)-F95)/D95</f>
        <v>4.7255270450369483E-3</v>
      </c>
    </row>
    <row r="93" spans="1:12" ht="26.25" customHeight="1" x14ac:dyDescent="0.4">
      <c r="A93" s="452" t="s">
        <v>68</v>
      </c>
      <c r="B93" s="453">
        <v>1</v>
      </c>
      <c r="C93" s="519">
        <v>3</v>
      </c>
      <c r="D93" s="465">
        <v>66943237</v>
      </c>
      <c r="E93" s="466">
        <f>IF(ISBLANK(D93),"-",$D$101/$D$98*D93)</f>
        <v>75651307.730208859</v>
      </c>
      <c r="F93" s="465">
        <v>68210367</v>
      </c>
      <c r="G93" s="467">
        <f>IF(ISBLANK(F93),"-",$D$101/$F$98*F93)</f>
        <v>75501810.937885493</v>
      </c>
      <c r="I93" s="638"/>
    </row>
    <row r="94" spans="1:12" ht="27" customHeight="1" x14ac:dyDescent="0.4">
      <c r="A94" s="452" t="s">
        <v>69</v>
      </c>
      <c r="B94" s="453">
        <v>1</v>
      </c>
      <c r="C94" s="535">
        <v>4</v>
      </c>
      <c r="D94" s="470"/>
      <c r="E94" s="471" t="str">
        <f>IF(ISBLANK(D94),"-",$D$101/$D$98*D94)</f>
        <v>-</v>
      </c>
      <c r="F94" s="536"/>
      <c r="G94" s="472" t="str">
        <f>IF(ISBLANK(F94),"-",$D$101/$F$98*F94)</f>
        <v>-</v>
      </c>
      <c r="I94" s="473"/>
    </row>
    <row r="95" spans="1:12" ht="27" customHeight="1" x14ac:dyDescent="0.4">
      <c r="A95" s="452" t="s">
        <v>70</v>
      </c>
      <c r="B95" s="453">
        <v>1</v>
      </c>
      <c r="C95" s="537" t="s">
        <v>71</v>
      </c>
      <c r="D95" s="538">
        <f>AVERAGE(D91:D94)</f>
        <v>66927618</v>
      </c>
      <c r="E95" s="476">
        <f>AVERAGE(E91:E94)</f>
        <v>75633656.988649428</v>
      </c>
      <c r="F95" s="539">
        <f>AVERAGE(F91:F94)</f>
        <v>68013212</v>
      </c>
      <c r="G95" s="540">
        <f>AVERAGE(G91:G94)</f>
        <v>75283580.774493188</v>
      </c>
    </row>
    <row r="96" spans="1:12" ht="26.25" customHeight="1" x14ac:dyDescent="0.4">
      <c r="A96" s="452" t="s">
        <v>72</v>
      </c>
      <c r="B96" s="438">
        <v>1</v>
      </c>
      <c r="C96" s="541" t="s">
        <v>113</v>
      </c>
      <c r="D96" s="542">
        <v>29.6</v>
      </c>
      <c r="E96" s="468"/>
      <c r="F96" s="480">
        <v>30.22</v>
      </c>
    </row>
    <row r="97" spans="1:10" ht="26.25" customHeight="1" x14ac:dyDescent="0.4">
      <c r="A97" s="452" t="s">
        <v>74</v>
      </c>
      <c r="B97" s="438">
        <v>1</v>
      </c>
      <c r="C97" s="543" t="s">
        <v>114</v>
      </c>
      <c r="D97" s="544">
        <f>D96*$B$87</f>
        <v>29.6</v>
      </c>
      <c r="E97" s="483"/>
      <c r="F97" s="482">
        <f>F96*$B$87</f>
        <v>30.22</v>
      </c>
    </row>
    <row r="98" spans="1:10" ht="19.5" customHeight="1" x14ac:dyDescent="0.3">
      <c r="A98" s="452" t="s">
        <v>76</v>
      </c>
      <c r="B98" s="545">
        <f>(B97/B96)*(B95/B94)*(B93/B92)*(B91/B90)*B89</f>
        <v>100</v>
      </c>
      <c r="C98" s="543" t="s">
        <v>115</v>
      </c>
      <c r="D98" s="546">
        <f>D97*$B$83/100</f>
        <v>29.496400000000005</v>
      </c>
      <c r="E98" s="486"/>
      <c r="F98" s="485">
        <f>F97*$B$83/100</f>
        <v>30.114230000000003</v>
      </c>
    </row>
    <row r="99" spans="1:10" ht="19.5" customHeight="1" x14ac:dyDescent="0.3">
      <c r="A99" s="624" t="s">
        <v>78</v>
      </c>
      <c r="B99" s="639"/>
      <c r="C99" s="543" t="s">
        <v>116</v>
      </c>
      <c r="D99" s="547">
        <f>D98/$B$98</f>
        <v>0.29496400000000006</v>
      </c>
      <c r="E99" s="486"/>
      <c r="F99" s="489">
        <f>F98/$B$98</f>
        <v>0.30114230000000003</v>
      </c>
      <c r="G99" s="548"/>
      <c r="H99" s="478"/>
    </row>
    <row r="100" spans="1:10" ht="19.5" customHeight="1" x14ac:dyDescent="0.3">
      <c r="A100" s="626"/>
      <c r="B100" s="640"/>
      <c r="C100" s="543" t="s">
        <v>80</v>
      </c>
      <c r="D100" s="549">
        <f>$B$56/$B$116</f>
        <v>0.33333333333333331</v>
      </c>
      <c r="F100" s="494"/>
      <c r="G100" s="550"/>
      <c r="H100" s="478"/>
    </row>
    <row r="101" spans="1:10" ht="18.75" x14ac:dyDescent="0.3">
      <c r="C101" s="543" t="s">
        <v>81</v>
      </c>
      <c r="D101" s="544">
        <f>D100*$B$98</f>
        <v>33.333333333333329</v>
      </c>
      <c r="F101" s="494"/>
      <c r="G101" s="548"/>
      <c r="H101" s="478"/>
    </row>
    <row r="102" spans="1:10" ht="19.5" customHeight="1" x14ac:dyDescent="0.3">
      <c r="C102" s="551" t="s">
        <v>82</v>
      </c>
      <c r="D102" s="552">
        <f>D101/B34</f>
        <v>33.333333333333329</v>
      </c>
      <c r="F102" s="498"/>
      <c r="G102" s="548"/>
      <c r="H102" s="478"/>
      <c r="J102" s="553"/>
    </row>
    <row r="103" spans="1:10" ht="18.75" x14ac:dyDescent="0.3">
      <c r="C103" s="554" t="s">
        <v>117</v>
      </c>
      <c r="D103" s="555">
        <f>AVERAGE(E91:E94,G91:G94)</f>
        <v>75458618.881571308</v>
      </c>
      <c r="F103" s="498"/>
      <c r="G103" s="556"/>
      <c r="H103" s="478"/>
      <c r="J103" s="557"/>
    </row>
    <row r="104" spans="1:10" ht="18.75" x14ac:dyDescent="0.3">
      <c r="C104" s="521" t="s">
        <v>84</v>
      </c>
      <c r="D104" s="558">
        <f>STDEV(E91:E94,G91:G94)/D103</f>
        <v>3.8360545883729313E-3</v>
      </c>
      <c r="F104" s="498"/>
      <c r="G104" s="548"/>
      <c r="H104" s="478"/>
      <c r="J104" s="557"/>
    </row>
    <row r="105" spans="1:10" ht="19.5" customHeight="1" x14ac:dyDescent="0.3">
      <c r="C105" s="523" t="s">
        <v>20</v>
      </c>
      <c r="D105" s="559">
        <f>COUNT(E91:E94,G91:G94)</f>
        <v>6</v>
      </c>
      <c r="F105" s="498"/>
      <c r="G105" s="548"/>
      <c r="H105" s="478"/>
      <c r="J105" s="557"/>
    </row>
    <row r="106" spans="1:10" ht="19.5" customHeight="1" x14ac:dyDescent="0.3">
      <c r="A106" s="502"/>
      <c r="B106" s="502"/>
      <c r="C106" s="502"/>
      <c r="D106" s="502"/>
      <c r="E106" s="502"/>
    </row>
    <row r="107" spans="1:10" ht="27" customHeight="1" x14ac:dyDescent="0.4">
      <c r="A107" s="450" t="s">
        <v>118</v>
      </c>
      <c r="B107" s="451">
        <v>900</v>
      </c>
      <c r="C107" s="598" t="s">
        <v>119</v>
      </c>
      <c r="D107" s="598" t="s">
        <v>63</v>
      </c>
      <c r="E107" s="598" t="s">
        <v>120</v>
      </c>
      <c r="F107" s="560" t="s">
        <v>121</v>
      </c>
    </row>
    <row r="108" spans="1:10" ht="26.25" customHeight="1" x14ac:dyDescent="0.4">
      <c r="A108" s="452" t="s">
        <v>122</v>
      </c>
      <c r="B108" s="453">
        <v>1</v>
      </c>
      <c r="C108" s="603">
        <v>1</v>
      </c>
      <c r="D108" s="604">
        <v>73816653</v>
      </c>
      <c r="E108" s="578">
        <f t="shared" ref="E108:E113" si="1">IF(ISBLANK(D108),"-",D108/$D$103*$D$100*$B$116)</f>
        <v>293.47205432894964</v>
      </c>
      <c r="F108" s="605">
        <f t="shared" ref="F108:F113" si="2">IF(ISBLANK(D108), "-", (E108/$B$56)*100)</f>
        <v>97.824018109649884</v>
      </c>
    </row>
    <row r="109" spans="1:10" ht="26.25" customHeight="1" x14ac:dyDescent="0.4">
      <c r="A109" s="452" t="s">
        <v>95</v>
      </c>
      <c r="B109" s="453">
        <v>1</v>
      </c>
      <c r="C109" s="599">
        <v>2</v>
      </c>
      <c r="D109" s="601">
        <v>74639617</v>
      </c>
      <c r="E109" s="579">
        <f t="shared" si="1"/>
        <v>296.74390323977423</v>
      </c>
      <c r="F109" s="606">
        <f t="shared" si="2"/>
        <v>98.914634413258071</v>
      </c>
    </row>
    <row r="110" spans="1:10" ht="26.25" customHeight="1" x14ac:dyDescent="0.4">
      <c r="A110" s="452" t="s">
        <v>96</v>
      </c>
      <c r="B110" s="453">
        <v>1</v>
      </c>
      <c r="C110" s="599">
        <v>3</v>
      </c>
      <c r="D110" s="601">
        <v>74358122</v>
      </c>
      <c r="E110" s="579">
        <f t="shared" si="1"/>
        <v>295.62476666860886</v>
      </c>
      <c r="F110" s="606">
        <f t="shared" si="2"/>
        <v>98.541588889536285</v>
      </c>
    </row>
    <row r="111" spans="1:10" ht="26.25" customHeight="1" x14ac:dyDescent="0.4">
      <c r="A111" s="452" t="s">
        <v>97</v>
      </c>
      <c r="B111" s="453">
        <v>1</v>
      </c>
      <c r="C111" s="599">
        <v>4</v>
      </c>
      <c r="D111" s="601">
        <v>74232072</v>
      </c>
      <c r="E111" s="579">
        <f t="shared" si="1"/>
        <v>295.12363107190055</v>
      </c>
      <c r="F111" s="606">
        <f t="shared" si="2"/>
        <v>98.374543690633516</v>
      </c>
    </row>
    <row r="112" spans="1:10" ht="26.25" customHeight="1" x14ac:dyDescent="0.4">
      <c r="A112" s="452" t="s">
        <v>98</v>
      </c>
      <c r="B112" s="453">
        <v>1</v>
      </c>
      <c r="C112" s="599">
        <v>5</v>
      </c>
      <c r="D112" s="601">
        <v>74357190</v>
      </c>
      <c r="E112" s="579">
        <f t="shared" si="1"/>
        <v>295.62106132647375</v>
      </c>
      <c r="F112" s="606">
        <f t="shared" si="2"/>
        <v>98.540353775491255</v>
      </c>
    </row>
    <row r="113" spans="1:10" ht="27" customHeight="1" x14ac:dyDescent="0.4">
      <c r="A113" s="452" t="s">
        <v>100</v>
      </c>
      <c r="B113" s="453">
        <v>1</v>
      </c>
      <c r="C113" s="600">
        <v>6</v>
      </c>
      <c r="D113" s="602">
        <v>75430433</v>
      </c>
      <c r="E113" s="580">
        <f t="shared" si="1"/>
        <v>299.8879417010711</v>
      </c>
      <c r="F113" s="607">
        <f t="shared" si="2"/>
        <v>99.962647233690376</v>
      </c>
    </row>
    <row r="114" spans="1:10" ht="27" customHeight="1" x14ac:dyDescent="0.4">
      <c r="A114" s="452" t="s">
        <v>101</v>
      </c>
      <c r="B114" s="453">
        <v>1</v>
      </c>
      <c r="C114" s="561"/>
      <c r="D114" s="519"/>
      <c r="E114" s="426"/>
      <c r="F114" s="608"/>
    </row>
    <row r="115" spans="1:10" ht="26.25" customHeight="1" x14ac:dyDescent="0.4">
      <c r="A115" s="452" t="s">
        <v>102</v>
      </c>
      <c r="B115" s="453">
        <v>1</v>
      </c>
      <c r="C115" s="561"/>
      <c r="D115" s="585" t="s">
        <v>71</v>
      </c>
      <c r="E115" s="587">
        <f>AVERAGE(E108:E113)</f>
        <v>296.07889305612974</v>
      </c>
      <c r="F115" s="609">
        <f>AVERAGE(F108:F113)</f>
        <v>98.692964352043234</v>
      </c>
    </row>
    <row r="116" spans="1:10" ht="27" customHeight="1" x14ac:dyDescent="0.4">
      <c r="A116" s="452" t="s">
        <v>103</v>
      </c>
      <c r="B116" s="484">
        <f>(B115/B114)*(B113/B112)*(B111/B110)*(B109/B108)*B107</f>
        <v>900</v>
      </c>
      <c r="C116" s="562"/>
      <c r="D116" s="586" t="s">
        <v>84</v>
      </c>
      <c r="E116" s="584">
        <f>STDEV(E108:E113)/E115</f>
        <v>7.2556948640276862E-3</v>
      </c>
      <c r="F116" s="563">
        <f>STDEV(F108:F113)/F115</f>
        <v>7.2556948640277053E-3</v>
      </c>
      <c r="I116" s="426"/>
    </row>
    <row r="117" spans="1:10" ht="27" customHeight="1" x14ac:dyDescent="0.4">
      <c r="A117" s="624" t="s">
        <v>78</v>
      </c>
      <c r="B117" s="625"/>
      <c r="C117" s="564"/>
      <c r="D117" s="523" t="s">
        <v>20</v>
      </c>
      <c r="E117" s="589">
        <f>COUNT(E108:E113)</f>
        <v>6</v>
      </c>
      <c r="F117" s="590">
        <f>COUNT(F108:F113)</f>
        <v>6</v>
      </c>
      <c r="I117" s="426"/>
      <c r="J117" s="557"/>
    </row>
    <row r="118" spans="1:10" ht="26.25" customHeight="1" x14ac:dyDescent="0.3">
      <c r="A118" s="626"/>
      <c r="B118" s="627"/>
      <c r="C118" s="426"/>
      <c r="D118" s="588"/>
      <c r="E118" s="652" t="s">
        <v>123</v>
      </c>
      <c r="F118" s="653"/>
      <c r="G118" s="426"/>
      <c r="H118" s="426"/>
      <c r="I118" s="426"/>
    </row>
    <row r="119" spans="1:10" ht="25.5" customHeight="1" x14ac:dyDescent="0.4">
      <c r="A119" s="573"/>
      <c r="B119" s="448"/>
      <c r="C119" s="426"/>
      <c r="D119" s="586" t="s">
        <v>124</v>
      </c>
      <c r="E119" s="591">
        <f>MIN(E108:E113)</f>
        <v>293.47205432894964</v>
      </c>
      <c r="F119" s="610">
        <f>MIN(F108:F113)</f>
        <v>97.824018109649884</v>
      </c>
      <c r="G119" s="426"/>
      <c r="H119" s="426"/>
      <c r="I119" s="426"/>
    </row>
    <row r="120" spans="1:10" ht="24" customHeight="1" x14ac:dyDescent="0.4">
      <c r="A120" s="573"/>
      <c r="B120" s="448"/>
      <c r="C120" s="426"/>
      <c r="D120" s="495" t="s">
        <v>125</v>
      </c>
      <c r="E120" s="592">
        <f>MAX(E108:E113)</f>
        <v>299.8879417010711</v>
      </c>
      <c r="F120" s="611">
        <f>MAX(F108:F113)</f>
        <v>99.962647233690376</v>
      </c>
      <c r="G120" s="426"/>
      <c r="H120" s="426"/>
      <c r="I120" s="426"/>
    </row>
    <row r="121" spans="1:10" ht="27" customHeight="1" x14ac:dyDescent="0.3">
      <c r="A121" s="573"/>
      <c r="B121" s="448"/>
      <c r="C121" s="426"/>
      <c r="D121" s="426"/>
      <c r="E121" s="426"/>
      <c r="F121" s="519"/>
      <c r="G121" s="426"/>
      <c r="H121" s="426"/>
      <c r="I121" s="426"/>
    </row>
    <row r="122" spans="1:10" ht="25.5" customHeight="1" x14ac:dyDescent="0.3">
      <c r="A122" s="573"/>
      <c r="B122" s="448"/>
      <c r="C122" s="426"/>
      <c r="D122" s="426"/>
      <c r="E122" s="426"/>
      <c r="F122" s="519"/>
      <c r="G122" s="426"/>
      <c r="H122" s="426"/>
      <c r="I122" s="426"/>
    </row>
    <row r="123" spans="1:10" ht="18.75" x14ac:dyDescent="0.3">
      <c r="A123" s="573"/>
      <c r="B123" s="448"/>
      <c r="C123" s="426"/>
      <c r="D123" s="426"/>
      <c r="E123" s="426"/>
      <c r="F123" s="519"/>
      <c r="G123" s="426"/>
      <c r="H123" s="426"/>
      <c r="I123" s="426"/>
    </row>
    <row r="124" spans="1:10" ht="45.75" customHeight="1" x14ac:dyDescent="0.65">
      <c r="A124" s="436" t="s">
        <v>106</v>
      </c>
      <c r="B124" s="525" t="s">
        <v>126</v>
      </c>
      <c r="C124" s="628" t="str">
        <f>B26</f>
        <v>Zidovudine</v>
      </c>
      <c r="D124" s="628"/>
      <c r="E124" s="526" t="s">
        <v>127</v>
      </c>
      <c r="F124" s="526"/>
      <c r="G124" s="612">
        <f>F115</f>
        <v>98.692964352043234</v>
      </c>
      <c r="H124" s="426"/>
      <c r="I124" s="426"/>
    </row>
    <row r="125" spans="1:10" ht="45.75" customHeight="1" x14ac:dyDescent="0.65">
      <c r="A125" s="436"/>
      <c r="B125" s="525" t="s">
        <v>128</v>
      </c>
      <c r="C125" s="437" t="s">
        <v>129</v>
      </c>
      <c r="D125" s="612">
        <f>MIN(F108:F113)</f>
        <v>97.824018109649884</v>
      </c>
      <c r="E125" s="537" t="s">
        <v>130</v>
      </c>
      <c r="F125" s="612">
        <f>MAX(F108:F113)</f>
        <v>99.962647233690376</v>
      </c>
      <c r="G125" s="527"/>
      <c r="H125" s="426"/>
      <c r="I125" s="426"/>
    </row>
    <row r="126" spans="1:10" ht="19.5" customHeight="1" x14ac:dyDescent="0.3">
      <c r="A126" s="565"/>
      <c r="B126" s="565"/>
      <c r="C126" s="566"/>
      <c r="D126" s="566"/>
      <c r="E126" s="566"/>
      <c r="F126" s="566"/>
      <c r="G126" s="566"/>
      <c r="H126" s="566"/>
    </row>
    <row r="127" spans="1:10" ht="18.75" x14ac:dyDescent="0.3">
      <c r="B127" s="629" t="s">
        <v>26</v>
      </c>
      <c r="C127" s="629"/>
      <c r="E127" s="532" t="s">
        <v>27</v>
      </c>
      <c r="F127" s="567"/>
      <c r="G127" s="629" t="s">
        <v>28</v>
      </c>
      <c r="H127" s="629"/>
    </row>
    <row r="128" spans="1:10" ht="69.95" customHeight="1" x14ac:dyDescent="0.3">
      <c r="A128" s="568" t="s">
        <v>29</v>
      </c>
      <c r="B128" s="569"/>
      <c r="C128" s="569"/>
      <c r="E128" s="569"/>
      <c r="F128" s="426"/>
      <c r="G128" s="570"/>
      <c r="H128" s="570"/>
    </row>
    <row r="129" spans="1:9" ht="69.95" customHeight="1" x14ac:dyDescent="0.3">
      <c r="A129" s="568" t="s">
        <v>30</v>
      </c>
      <c r="B129" s="571"/>
      <c r="C129" s="571"/>
      <c r="E129" s="571"/>
      <c r="F129" s="426"/>
      <c r="G129" s="572"/>
      <c r="H129" s="572"/>
    </row>
    <row r="130" spans="1:9" ht="18.75" x14ac:dyDescent="0.3">
      <c r="A130" s="518"/>
      <c r="B130" s="518"/>
      <c r="C130" s="519"/>
      <c r="D130" s="519"/>
      <c r="E130" s="519"/>
      <c r="F130" s="522"/>
      <c r="G130" s="519"/>
      <c r="H130" s="519"/>
      <c r="I130" s="426"/>
    </row>
    <row r="131" spans="1:9" ht="18.75" x14ac:dyDescent="0.3">
      <c r="A131" s="518"/>
      <c r="B131" s="518"/>
      <c r="C131" s="519"/>
      <c r="D131" s="519"/>
      <c r="E131" s="519"/>
      <c r="F131" s="522"/>
      <c r="G131" s="519"/>
      <c r="H131" s="519"/>
      <c r="I131" s="426"/>
    </row>
    <row r="132" spans="1:9" ht="18.75" x14ac:dyDescent="0.3">
      <c r="A132" s="518"/>
      <c r="B132" s="518"/>
      <c r="C132" s="519"/>
      <c r="D132" s="519"/>
      <c r="E132" s="519"/>
      <c r="F132" s="522"/>
      <c r="G132" s="519"/>
      <c r="H132" s="519"/>
      <c r="I132" s="426"/>
    </row>
    <row r="133" spans="1:9" ht="18.75" x14ac:dyDescent="0.3">
      <c r="A133" s="518"/>
      <c r="B133" s="518"/>
      <c r="C133" s="519"/>
      <c r="D133" s="519"/>
      <c r="E133" s="519"/>
      <c r="F133" s="522"/>
      <c r="G133" s="519"/>
      <c r="H133" s="519"/>
      <c r="I133" s="426"/>
    </row>
    <row r="134" spans="1:9" ht="18.75" x14ac:dyDescent="0.3">
      <c r="A134" s="518"/>
      <c r="B134" s="518"/>
      <c r="C134" s="519"/>
      <c r="D134" s="519"/>
      <c r="E134" s="519"/>
      <c r="F134" s="522"/>
      <c r="G134" s="519"/>
      <c r="H134" s="519"/>
      <c r="I134" s="426"/>
    </row>
    <row r="135" spans="1:9" ht="18.75" x14ac:dyDescent="0.3">
      <c r="A135" s="518"/>
      <c r="B135" s="518"/>
      <c r="C135" s="519"/>
      <c r="D135" s="519"/>
      <c r="E135" s="519"/>
      <c r="F135" s="522"/>
      <c r="G135" s="519"/>
      <c r="H135" s="519"/>
      <c r="I135" s="426"/>
    </row>
    <row r="136" spans="1:9" ht="18.75" x14ac:dyDescent="0.3">
      <c r="A136" s="518"/>
      <c r="B136" s="518"/>
      <c r="C136" s="519"/>
      <c r="D136" s="519"/>
      <c r="E136" s="519"/>
      <c r="F136" s="522"/>
      <c r="G136" s="519"/>
      <c r="H136" s="519"/>
      <c r="I136" s="426"/>
    </row>
    <row r="137" spans="1:9" ht="18.75" x14ac:dyDescent="0.3">
      <c r="A137" s="518"/>
      <c r="B137" s="518"/>
      <c r="C137" s="519"/>
      <c r="D137" s="519"/>
      <c r="E137" s="519"/>
      <c r="F137" s="522"/>
      <c r="G137" s="519"/>
      <c r="H137" s="519"/>
      <c r="I137" s="426"/>
    </row>
    <row r="138" spans="1:9" ht="18.75" x14ac:dyDescent="0.3">
      <c r="A138" s="518"/>
      <c r="B138" s="518"/>
      <c r="C138" s="519"/>
      <c r="D138" s="519"/>
      <c r="E138" s="519"/>
      <c r="F138" s="522"/>
      <c r="G138" s="519"/>
      <c r="H138" s="519"/>
      <c r="I138" s="426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2" orientation="portrait" horizontalDpi="4294967295" verticalDpi="4294967295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SST Lamivudine</vt:lpstr>
      <vt:lpstr>SST Zidovudine</vt:lpstr>
      <vt:lpstr>SST Nevirapine</vt:lpstr>
      <vt:lpstr>Uniformity</vt:lpstr>
      <vt:lpstr>Lamivudine</vt:lpstr>
      <vt:lpstr>Nevirapine</vt:lpstr>
      <vt:lpstr>Zidovudine</vt:lpstr>
      <vt:lpstr>Lamivudine!Print_Area</vt:lpstr>
      <vt:lpstr>Uniformity!Print_Area</vt:lpstr>
      <vt:lpstr>Zidovudine!Print_Area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Microsoft</cp:lastModifiedBy>
  <cp:lastPrinted>2017-09-04T07:09:06Z</cp:lastPrinted>
  <dcterms:created xsi:type="dcterms:W3CDTF">2005-07-05T10:19:27Z</dcterms:created>
  <dcterms:modified xsi:type="dcterms:W3CDTF">2017-09-04T07:12:03Z</dcterms:modified>
</cp:coreProperties>
</file>