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6"/>
  </bookViews>
  <sheets>
    <sheet name="SST Lamivudine" sheetId="11" r:id="rId1"/>
    <sheet name="SST Zidovudine" sheetId="12" r:id="rId2"/>
    <sheet name="SST Nevirapine" sheetId="13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3">Uniformity!$A$1:$F$54</definedName>
  </definedNames>
  <calcPr calcId="145621"/>
</workbook>
</file>

<file path=xl/calcChain.xml><?xml version="1.0" encoding="utf-8"?>
<calcChain xmlns="http://schemas.openxmlformats.org/spreadsheetml/2006/main">
  <c r="B18" i="11" l="1"/>
  <c r="B18" i="12" s="1"/>
  <c r="B18" i="13" s="1"/>
  <c r="B53" i="13"/>
  <c r="E51" i="13"/>
  <c r="D51" i="13"/>
  <c r="C51" i="13"/>
  <c r="B51" i="13"/>
  <c r="B52" i="13" s="1"/>
  <c r="B32" i="13"/>
  <c r="F30" i="13"/>
  <c r="E30" i="13"/>
  <c r="D30" i="13"/>
  <c r="C30" i="13"/>
  <c r="B30" i="13"/>
  <c r="B31" i="13" s="1"/>
  <c r="B53" i="12"/>
  <c r="E51" i="12"/>
  <c r="D51" i="12"/>
  <c r="C51" i="12"/>
  <c r="B51" i="12"/>
  <c r="B52" i="12" s="1"/>
  <c r="B32" i="12"/>
  <c r="B31" i="12"/>
  <c r="F30" i="12"/>
  <c r="E30" i="12"/>
  <c r="D30" i="12"/>
  <c r="C30" i="12"/>
  <c r="B30" i="12"/>
  <c r="B53" i="11"/>
  <c r="E51" i="11"/>
  <c r="D51" i="11"/>
  <c r="C51" i="11"/>
  <c r="B51" i="11"/>
  <c r="B52" i="11" s="1"/>
  <c r="B32" i="11"/>
  <c r="E30" i="11"/>
  <c r="D30" i="11"/>
  <c r="C30" i="11"/>
  <c r="B30" i="11"/>
  <c r="B31" i="11" s="1"/>
  <c r="C124" i="5" l="1"/>
  <c r="B116" i="5"/>
  <c r="D100" i="5" s="1"/>
  <c r="B98" i="5"/>
  <c r="F95" i="5"/>
  <c r="D95" i="5"/>
  <c r="B87" i="5"/>
  <c r="D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B30" i="5"/>
  <c r="C124" i="4"/>
  <c r="B116" i="4"/>
  <c r="D100" i="4" s="1"/>
  <c r="B98" i="4"/>
  <c r="F95" i="4"/>
  <c r="D95" i="4"/>
  <c r="I92" i="4" s="1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D101" i="3" s="1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 s="1"/>
  <c r="B34" i="3"/>
  <c r="F44" i="3" s="1"/>
  <c r="B30" i="3"/>
  <c r="C46" i="2"/>
  <c r="C50" i="2" s="1"/>
  <c r="C45" i="2"/>
  <c r="D41" i="2"/>
  <c r="D35" i="2"/>
  <c r="D30" i="2"/>
  <c r="D25" i="2"/>
  <c r="C19" i="2"/>
  <c r="I92" i="5" l="1"/>
  <c r="D101" i="5"/>
  <c r="F97" i="5"/>
  <c r="F98" i="5" s="1"/>
  <c r="F99" i="5" s="1"/>
  <c r="I39" i="5"/>
  <c r="D44" i="5"/>
  <c r="D45" i="5" s="1"/>
  <c r="F45" i="5"/>
  <c r="G41" i="5" s="1"/>
  <c r="I39" i="4"/>
  <c r="F44" i="4"/>
  <c r="D101" i="4"/>
  <c r="F97" i="3"/>
  <c r="I92" i="3"/>
  <c r="D49" i="3"/>
  <c r="D44" i="3"/>
  <c r="D45" i="3" s="1"/>
  <c r="F98" i="3"/>
  <c r="D31" i="2"/>
  <c r="D37" i="2"/>
  <c r="D42" i="2"/>
  <c r="B49" i="2"/>
  <c r="D27" i="2"/>
  <c r="D33" i="2"/>
  <c r="D38" i="2"/>
  <c r="D43" i="2"/>
  <c r="C49" i="2"/>
  <c r="F45" i="3"/>
  <c r="G39" i="3" s="1"/>
  <c r="F45" i="4"/>
  <c r="G38" i="4" s="1"/>
  <c r="D98" i="4"/>
  <c r="D99" i="4" s="1"/>
  <c r="D29" i="2"/>
  <c r="D34" i="2"/>
  <c r="D39" i="2"/>
  <c r="D45" i="4"/>
  <c r="E41" i="4" s="1"/>
  <c r="D49" i="4"/>
  <c r="D98" i="5"/>
  <c r="D99" i="5" s="1"/>
  <c r="B57" i="4"/>
  <c r="B57" i="5"/>
  <c r="B57" i="3"/>
  <c r="D49" i="2"/>
  <c r="D40" i="2"/>
  <c r="D36" i="2"/>
  <c r="D32" i="2"/>
  <c r="D28" i="2"/>
  <c r="D24" i="2"/>
  <c r="D50" i="2"/>
  <c r="D98" i="3"/>
  <c r="D99" i="3" s="1"/>
  <c r="B69" i="4"/>
  <c r="D26" i="2"/>
  <c r="E94" i="3"/>
  <c r="D102" i="3"/>
  <c r="G92" i="3"/>
  <c r="D102" i="5"/>
  <c r="E91" i="5"/>
  <c r="B69" i="3"/>
  <c r="F97" i="4"/>
  <c r="F98" i="4" s="1"/>
  <c r="F99" i="4" s="1"/>
  <c r="D49" i="5"/>
  <c r="G93" i="5" l="1"/>
  <c r="G92" i="5"/>
  <c r="E92" i="5"/>
  <c r="E94" i="5"/>
  <c r="G91" i="5"/>
  <c r="G94" i="5"/>
  <c r="D46" i="5"/>
  <c r="E38" i="5"/>
  <c r="E40" i="5"/>
  <c r="E39" i="5"/>
  <c r="E41" i="5"/>
  <c r="G39" i="5"/>
  <c r="F46" i="5"/>
  <c r="G40" i="5"/>
  <c r="G38" i="5"/>
  <c r="E93" i="5"/>
  <c r="E92" i="4"/>
  <c r="D102" i="4"/>
  <c r="E93" i="4"/>
  <c r="E94" i="4"/>
  <c r="E40" i="4"/>
  <c r="E91" i="3"/>
  <c r="E39" i="3"/>
  <c r="E40" i="3"/>
  <c r="E38" i="3"/>
  <c r="E42" i="3" s="1"/>
  <c r="D46" i="3"/>
  <c r="E41" i="3"/>
  <c r="G63" i="5"/>
  <c r="H63" i="5" s="1"/>
  <c r="E38" i="4"/>
  <c r="E93" i="3"/>
  <c r="F46" i="4"/>
  <c r="G40" i="4"/>
  <c r="F99" i="3"/>
  <c r="G91" i="3"/>
  <c r="G94" i="4"/>
  <c r="G94" i="3"/>
  <c r="G71" i="5"/>
  <c r="H71" i="5" s="1"/>
  <c r="G41" i="4"/>
  <c r="G39" i="4"/>
  <c r="E92" i="3"/>
  <c r="G93" i="3"/>
  <c r="G92" i="4"/>
  <c r="G91" i="4"/>
  <c r="G67" i="5"/>
  <c r="H67" i="5" s="1"/>
  <c r="B69" i="5"/>
  <c r="F46" i="3"/>
  <c r="G41" i="3"/>
  <c r="G40" i="3"/>
  <c r="G38" i="3"/>
  <c r="D46" i="4"/>
  <c r="E39" i="4"/>
  <c r="G93" i="4"/>
  <c r="E91" i="4"/>
  <c r="G95" i="5" l="1"/>
  <c r="E95" i="5"/>
  <c r="E42" i="5"/>
  <c r="D52" i="5"/>
  <c r="G42" i="5"/>
  <c r="D105" i="5"/>
  <c r="D50" i="5"/>
  <c r="D103" i="5"/>
  <c r="E113" i="5" s="1"/>
  <c r="F113" i="5" s="1"/>
  <c r="G42" i="4"/>
  <c r="G95" i="4"/>
  <c r="G95" i="3"/>
  <c r="D103" i="3"/>
  <c r="E110" i="3" s="1"/>
  <c r="F110" i="3" s="1"/>
  <c r="G42" i="3"/>
  <c r="D50" i="3"/>
  <c r="G68" i="3" s="1"/>
  <c r="H68" i="3" s="1"/>
  <c r="E95" i="3"/>
  <c r="D52" i="3"/>
  <c r="D105" i="3"/>
  <c r="D105" i="4"/>
  <c r="D103" i="4"/>
  <c r="E95" i="4"/>
  <c r="D51" i="3"/>
  <c r="G71" i="3"/>
  <c r="H71" i="3" s="1"/>
  <c r="G63" i="3"/>
  <c r="H63" i="3" s="1"/>
  <c r="G67" i="3"/>
  <c r="H67" i="3" s="1"/>
  <c r="D52" i="4"/>
  <c r="D50" i="4"/>
  <c r="E42" i="4"/>
  <c r="E108" i="5" l="1"/>
  <c r="D104" i="5"/>
  <c r="E112" i="5"/>
  <c r="F112" i="5" s="1"/>
  <c r="E111" i="5"/>
  <c r="F111" i="5" s="1"/>
  <c r="E110" i="5"/>
  <c r="F110" i="5" s="1"/>
  <c r="E109" i="5"/>
  <c r="F109" i="5" s="1"/>
  <c r="G60" i="5"/>
  <c r="G65" i="5"/>
  <c r="H65" i="5" s="1"/>
  <c r="G68" i="5"/>
  <c r="H68" i="5" s="1"/>
  <c r="G61" i="5"/>
  <c r="H61" i="5" s="1"/>
  <c r="G69" i="5"/>
  <c r="H69" i="5" s="1"/>
  <c r="G70" i="5"/>
  <c r="H70" i="5" s="1"/>
  <c r="G62" i="5"/>
  <c r="H62" i="5" s="1"/>
  <c r="G64" i="5"/>
  <c r="H64" i="5" s="1"/>
  <c r="G66" i="5"/>
  <c r="H66" i="5" s="1"/>
  <c r="D51" i="5"/>
  <c r="E112" i="3"/>
  <c r="F112" i="3" s="1"/>
  <c r="E111" i="3"/>
  <c r="F111" i="3" s="1"/>
  <c r="E113" i="3"/>
  <c r="F113" i="3" s="1"/>
  <c r="D104" i="3"/>
  <c r="E108" i="3"/>
  <c r="F108" i="3" s="1"/>
  <c r="E109" i="3"/>
  <c r="F109" i="3" s="1"/>
  <c r="G69" i="3"/>
  <c r="H69" i="3" s="1"/>
  <c r="G61" i="3"/>
  <c r="H61" i="3" s="1"/>
  <c r="G65" i="3"/>
  <c r="H65" i="3" s="1"/>
  <c r="G64" i="3"/>
  <c r="H64" i="3" s="1"/>
  <c r="G70" i="3"/>
  <c r="H70" i="3" s="1"/>
  <c r="G62" i="3"/>
  <c r="H62" i="3" s="1"/>
  <c r="G66" i="3"/>
  <c r="H66" i="3" s="1"/>
  <c r="G60" i="3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G71" i="4"/>
  <c r="H71" i="4" s="1"/>
  <c r="G60" i="4"/>
  <c r="D51" i="4"/>
  <c r="G70" i="4"/>
  <c r="H70" i="4" s="1"/>
  <c r="G68" i="4"/>
  <c r="H68" i="4" s="1"/>
  <c r="G69" i="4"/>
  <c r="H69" i="4" s="1"/>
  <c r="G66" i="4"/>
  <c r="H66" i="4" s="1"/>
  <c r="G64" i="4"/>
  <c r="H64" i="4" s="1"/>
  <c r="G62" i="4"/>
  <c r="H62" i="4" s="1"/>
  <c r="G63" i="4"/>
  <c r="H63" i="4" s="1"/>
  <c r="G61" i="4"/>
  <c r="H61" i="4" s="1"/>
  <c r="G67" i="4"/>
  <c r="H67" i="4" s="1"/>
  <c r="G65" i="4"/>
  <c r="H65" i="4" s="1"/>
  <c r="E115" i="5" l="1"/>
  <c r="E116" i="5" s="1"/>
  <c r="E117" i="5"/>
  <c r="F108" i="5"/>
  <c r="F115" i="5" s="1"/>
  <c r="E120" i="5"/>
  <c r="E119" i="5"/>
  <c r="H60" i="5"/>
  <c r="G74" i="5"/>
  <c r="G72" i="5"/>
  <c r="G73" i="5" s="1"/>
  <c r="E119" i="3"/>
  <c r="E115" i="3"/>
  <c r="E116" i="3" s="1"/>
  <c r="E117" i="3"/>
  <c r="E120" i="3"/>
  <c r="G72" i="3"/>
  <c r="G73" i="3" s="1"/>
  <c r="H60" i="3"/>
  <c r="H74" i="3" s="1"/>
  <c r="G74" i="3"/>
  <c r="F119" i="3"/>
  <c r="F125" i="3"/>
  <c r="F120" i="3"/>
  <c r="F117" i="3"/>
  <c r="D125" i="3"/>
  <c r="F115" i="3"/>
  <c r="H72" i="3"/>
  <c r="G74" i="4"/>
  <c r="G72" i="4"/>
  <c r="G73" i="4" s="1"/>
  <c r="H60" i="4"/>
  <c r="E120" i="4"/>
  <c r="E117" i="4"/>
  <c r="F108" i="4"/>
  <c r="E115" i="4"/>
  <c r="E116" i="4" s="1"/>
  <c r="E119" i="4"/>
  <c r="D125" i="5" l="1"/>
  <c r="F125" i="5"/>
  <c r="F119" i="5"/>
  <c r="F120" i="5"/>
  <c r="F117" i="5"/>
  <c r="H74" i="5"/>
  <c r="H72" i="5"/>
  <c r="G76" i="5" s="1"/>
  <c r="F116" i="5"/>
  <c r="G124" i="5"/>
  <c r="H74" i="4"/>
  <c r="H72" i="4"/>
  <c r="H73" i="3"/>
  <c r="G76" i="3"/>
  <c r="G124" i="3"/>
  <c r="F116" i="3"/>
  <c r="F125" i="4"/>
  <c r="F120" i="4"/>
  <c r="F117" i="4"/>
  <c r="D125" i="4"/>
  <c r="F115" i="4"/>
  <c r="F119" i="4"/>
  <c r="H73" i="5" l="1"/>
  <c r="G76" i="4"/>
  <c r="H73" i="4"/>
  <c r="G124" i="4"/>
  <c r="F116" i="4"/>
</calcChain>
</file>

<file path=xl/sharedStrings.xml><?xml version="1.0" encoding="utf-8"?>
<sst xmlns="http://schemas.openxmlformats.org/spreadsheetml/2006/main" count="666" uniqueCount="144">
  <si>
    <t>HPLC System Suitability Report</t>
  </si>
  <si>
    <t>Analysis Data</t>
  </si>
  <si>
    <t>Assay</t>
  </si>
  <si>
    <t>Sample(s)</t>
  </si>
  <si>
    <t>Reference Substance:</t>
  </si>
  <si>
    <t>LAMIVUDINE/ NEVIRAPINE/ZIDOVUDINE TABLETS
150 MG/ 200 MG/300 MG</t>
  </si>
  <si>
    <t>% age Purity:</t>
  </si>
  <si>
    <t>NDQB201707059</t>
  </si>
  <si>
    <t>Weight (mg):</t>
  </si>
  <si>
    <t>Lamivudine/Nevirapine/Zidovudine</t>
  </si>
  <si>
    <t>Standard Conc (mg/mL):</t>
  </si>
  <si>
    <t>Each film coated tablet contains: Lamivudine USP 150 mg, Nevirapine USP 200 mg and Zidovudine USP 300 mg.</t>
  </si>
  <si>
    <t>2017-07-20 10:39:39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</si>
  <si>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</si>
  <si>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</si>
  <si>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</si>
  <si>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</si>
  <si>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</si>
  <si>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</si>
  <si>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</si>
  <si>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</si>
  <si>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</si>
  <si>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</si>
  <si>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</si>
  <si>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</si>
  <si>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</si>
  <si>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</si>
  <si>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</si>
  <si>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</si>
  <si>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</si>
  <si>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</si>
  <si>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</si>
  <si>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</si>
  <si>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</si>
  <si>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</si>
  <si>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</si>
  <si>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</si>
  <si>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</si>
  <si>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</si>
  <si>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</si>
  <si>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</si>
  <si>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</si>
  <si>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</si>
  <si>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</si>
  <si>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</si>
  <si>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</si>
  <si>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</si>
  <si>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</si>
  <si>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</si>
  <si>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</si>
  <si>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</si>
  <si>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</si>
  <si>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</si>
  <si>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</si>
  <si>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</si>
  <si>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</si>
  <si>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</si>
  <si>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</si>
  <si>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</si>
  <si>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</si>
  <si>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</si>
  <si>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</si>
  <si>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</si>
  <si>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</si>
  <si>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</si>
  <si>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</si>
  <si>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</si>
  <si>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</si>
  <si>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</si>
  <si>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</si>
  <si>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</si>
  <si>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</si>
  <si>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</si>
  <si>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</si>
  <si>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</si>
  <si>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</si>
  <si>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</si>
  <si>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</si>
  <si>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</si>
  <si>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</si>
  <si>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</si>
  <si>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</si>
  <si>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</si>
  <si>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</si>
  <si>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</si>
  <si>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</si>
  <si>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</si>
  <si>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</si>
  <si>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</si>
  <si>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</si>
  <si>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</si>
  <si>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</si>
  <si>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</si>
  <si>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</si>
  <si>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</si>
  <si>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</si>
  <si>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</si>
  <si>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</si>
  <si>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</si>
  <si>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</si>
  <si>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</si>
  <si>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</si>
  <si>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</si>
  <si>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</si>
  <si>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</si>
  <si>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</si>
  <si>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</si>
  <si>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</si>
  <si>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</si>
  <si>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</si>
  <si>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</si>
  <si>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</si>
  <si>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</si>
  <si>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</si>
  <si>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</si>
  <si>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</si>
  <si>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</si>
  <si>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</si>
  <si>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</si>
  <si>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</si>
  <si>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</si>
  <si>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</si>
  <si>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</si>
  <si>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</si>
  <si>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</si>
  <si>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</si>
  <si>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</si>
  <si>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</si>
  <si>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</si>
  <si>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</si>
  <si>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</si>
  <si>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</t>
  </si>
  <si>
    <t>L3-10</t>
  </si>
  <si>
    <t>DBH027-C16A-160912</t>
  </si>
  <si>
    <t>Nevirapine</t>
  </si>
  <si>
    <t>Zidovudine</t>
  </si>
  <si>
    <t>08/31./2017</t>
  </si>
  <si>
    <t>Z1-3</t>
  </si>
  <si>
    <t>LAMIVUDINE, ZIDOVUDINE AND NEVIRAPINE DISPERSIBLE TABLETS</t>
  </si>
  <si>
    <t>2017-07-20 09:39:30</t>
  </si>
  <si>
    <t>Peak Resolution (USP)</t>
  </si>
  <si>
    <r>
      <t xml:space="preserve">The Peak resolution (USP) between the peak pair of Lamivudine &amp; Zidovudine is </t>
    </r>
    <r>
      <rPr>
        <b/>
        <sz val="12"/>
        <color rgb="FF000000"/>
        <rFont val="Book Antiqua"/>
        <family val="1"/>
      </rPr>
      <t>NLT 3.0</t>
    </r>
  </si>
  <si>
    <t>2017-07-19 12:29:00</t>
  </si>
  <si>
    <r>
      <t xml:space="preserve">The Peak resolution (USP) between the peak pair of Lamivudine &amp; Nevirapine is </t>
    </r>
    <r>
      <rPr>
        <b/>
        <sz val="12"/>
        <color rgb="FF000000"/>
        <rFont val="Book Antiqua"/>
        <family val="1"/>
      </rPr>
      <t>NLT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</si>
</sst>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0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5" fillId="2" borderId="0" xfId="1" applyFont="1" applyFill="1" applyBorder="1" applyAlignment="1">
      <alignment horizontal="center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2" fontId="5" fillId="4" borderId="0" xfId="1" applyNumberFormat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0" xfId="1" applyFont="1" applyFill="1" applyBorder="1"/>
    <xf numFmtId="0" fontId="1" fillId="2" borderId="11" xfId="1" applyFont="1" applyFill="1" applyBorder="1"/>
    <xf numFmtId="0" fontId="1" fillId="2" borderId="0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40"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6" width="25.7109375" style="664" customWidth="1"/>
    <col min="7" max="7" width="23.140625" style="664" customWidth="1"/>
    <col min="8" max="8" width="28.42578125" style="664" customWidth="1"/>
    <col min="9" max="9" width="21.5703125" style="664" customWidth="1"/>
    <col min="10" max="10" width="9.140625" style="664" customWidth="1"/>
    <col min="11" max="16384" width="9.140625" style="706"/>
  </cols>
  <sheetData>
    <row r="14" spans="1:7" ht="15" customHeight="1" x14ac:dyDescent="0.3">
      <c r="A14" s="663"/>
      <c r="C14" s="665"/>
      <c r="G14" s="665"/>
    </row>
    <row r="15" spans="1:7" ht="18.75" customHeight="1" x14ac:dyDescent="0.3">
      <c r="A15" s="666" t="s">
        <v>0</v>
      </c>
      <c r="B15" s="666"/>
      <c r="C15" s="666"/>
      <c r="D15" s="666"/>
      <c r="E15" s="666"/>
      <c r="F15" s="667"/>
    </row>
    <row r="16" spans="1:7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138</v>
      </c>
      <c r="D17" s="671"/>
      <c r="E17" s="672"/>
      <c r="F17" s="672"/>
    </row>
    <row r="18" spans="1:6" ht="16.5" customHeight="1" x14ac:dyDescent="0.3">
      <c r="A18" s="673" t="s">
        <v>4</v>
      </c>
      <c r="B18" s="670" t="str">
        <f>Lamivudine!B19</f>
        <v>NDQB201707059</v>
      </c>
      <c r="C18" s="672"/>
      <c r="D18" s="672"/>
      <c r="E18" s="672"/>
      <c r="F18" s="672"/>
    </row>
    <row r="19" spans="1:6" ht="16.5" customHeight="1" x14ac:dyDescent="0.3">
      <c r="A19" s="673" t="s">
        <v>6</v>
      </c>
      <c r="B19" s="674">
        <v>99.39</v>
      </c>
      <c r="C19" s="672"/>
      <c r="D19" s="672"/>
      <c r="E19" s="672"/>
      <c r="F19" s="672"/>
    </row>
    <row r="20" spans="1:6" ht="16.5" customHeight="1" x14ac:dyDescent="0.3">
      <c r="A20" s="670" t="s">
        <v>8</v>
      </c>
      <c r="B20" s="674">
        <v>14.63</v>
      </c>
      <c r="C20" s="672"/>
      <c r="D20" s="672"/>
      <c r="E20" s="672"/>
      <c r="F20" s="672"/>
    </row>
    <row r="21" spans="1:6" ht="16.5" customHeight="1" x14ac:dyDescent="0.3">
      <c r="A21" s="670" t="s">
        <v>10</v>
      </c>
      <c r="B21" s="675">
        <v>0.14630000000000001</v>
      </c>
      <c r="C21" s="672"/>
      <c r="D21" s="672"/>
      <c r="E21" s="672"/>
      <c r="F21" s="672"/>
    </row>
    <row r="22" spans="1:6" ht="15.75" customHeight="1" x14ac:dyDescent="0.25">
      <c r="A22" s="672"/>
      <c r="B22" s="672" t="s">
        <v>139</v>
      </c>
      <c r="C22" s="672"/>
      <c r="D22" s="672"/>
      <c r="E22" s="672"/>
      <c r="F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</row>
    <row r="24" spans="1:6" ht="16.5" customHeight="1" x14ac:dyDescent="0.3">
      <c r="A24" s="678">
        <v>1</v>
      </c>
      <c r="B24" s="679">
        <v>37564202</v>
      </c>
      <c r="C24" s="679">
        <v>7643.7</v>
      </c>
      <c r="D24" s="680">
        <v>1.1000000000000001</v>
      </c>
      <c r="E24" s="681">
        <v>3.9</v>
      </c>
    </row>
    <row r="25" spans="1:6" ht="16.5" customHeight="1" x14ac:dyDescent="0.3">
      <c r="A25" s="678">
        <v>2</v>
      </c>
      <c r="B25" s="679">
        <v>37515187</v>
      </c>
      <c r="C25" s="679">
        <v>7668.1</v>
      </c>
      <c r="D25" s="680">
        <v>1.1000000000000001</v>
      </c>
      <c r="E25" s="680">
        <v>3.9</v>
      </c>
    </row>
    <row r="26" spans="1:6" ht="16.5" customHeight="1" x14ac:dyDescent="0.3">
      <c r="A26" s="678">
        <v>3</v>
      </c>
      <c r="B26" s="679">
        <v>37550583</v>
      </c>
      <c r="C26" s="679">
        <v>7652.1</v>
      </c>
      <c r="D26" s="680">
        <v>1.1000000000000001</v>
      </c>
      <c r="E26" s="680">
        <v>3.9</v>
      </c>
    </row>
    <row r="27" spans="1:6" ht="16.5" customHeight="1" x14ac:dyDescent="0.3">
      <c r="A27" s="678">
        <v>4</v>
      </c>
      <c r="B27" s="679">
        <v>37559317</v>
      </c>
      <c r="C27" s="679">
        <v>7644.9</v>
      </c>
      <c r="D27" s="680">
        <v>1.1000000000000001</v>
      </c>
      <c r="E27" s="680">
        <v>3.9</v>
      </c>
    </row>
    <row r="28" spans="1:6" ht="16.5" customHeight="1" x14ac:dyDescent="0.3">
      <c r="A28" s="678">
        <v>5</v>
      </c>
      <c r="B28" s="679">
        <v>37452675</v>
      </c>
      <c r="C28" s="679">
        <v>7607</v>
      </c>
      <c r="D28" s="680">
        <v>1.1000000000000001</v>
      </c>
      <c r="E28" s="680">
        <v>3.9</v>
      </c>
    </row>
    <row r="29" spans="1:6" ht="16.5" customHeight="1" x14ac:dyDescent="0.3">
      <c r="A29" s="678">
        <v>6</v>
      </c>
      <c r="B29" s="682">
        <v>37558585</v>
      </c>
      <c r="C29" s="682">
        <v>7598.7</v>
      </c>
      <c r="D29" s="683">
        <v>1.1000000000000001</v>
      </c>
      <c r="E29" s="683">
        <v>3.9</v>
      </c>
    </row>
    <row r="30" spans="1:6" ht="16.5" customHeight="1" x14ac:dyDescent="0.3">
      <c r="A30" s="684" t="s">
        <v>18</v>
      </c>
      <c r="B30" s="685">
        <f>AVERAGE(B24:B29)</f>
        <v>37533424.833333336</v>
      </c>
      <c r="C30" s="686">
        <f>AVERAGE(C24:C29)</f>
        <v>7635.75</v>
      </c>
      <c r="D30" s="687">
        <f>AVERAGE(D24:D29)</f>
        <v>1.0999999999999999</v>
      </c>
      <c r="E30" s="687">
        <f>AVERAGE(E24:E29)</f>
        <v>3.9</v>
      </c>
    </row>
    <row r="31" spans="1:6" ht="16.5" customHeight="1" x14ac:dyDescent="0.3">
      <c r="A31" s="688" t="s">
        <v>19</v>
      </c>
      <c r="B31" s="689">
        <f>(STDEV(B24:B29)/B30)</f>
        <v>1.155100620397012E-3</v>
      </c>
      <c r="C31" s="690"/>
      <c r="D31" s="690"/>
      <c r="E31" s="691"/>
      <c r="F31" s="692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2"/>
    </row>
    <row r="33" spans="1:6" s="664" customFormat="1" ht="15.75" customHeight="1" x14ac:dyDescent="0.25">
      <c r="A33" s="672"/>
      <c r="B33" s="672"/>
      <c r="C33" s="672"/>
      <c r="D33" s="672"/>
      <c r="E33" s="672"/>
      <c r="F33" s="672"/>
    </row>
    <row r="34" spans="1:6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  <c r="F34" s="699"/>
    </row>
    <row r="35" spans="1:6" ht="16.5" customHeight="1" x14ac:dyDescent="0.3">
      <c r="A35" s="673"/>
      <c r="B35" s="698" t="s">
        <v>23</v>
      </c>
      <c r="C35" s="699"/>
      <c r="D35" s="699"/>
      <c r="E35" s="699"/>
      <c r="F35" s="699"/>
    </row>
    <row r="36" spans="1:6" ht="16.5" customHeight="1" x14ac:dyDescent="0.3">
      <c r="A36" s="673"/>
      <c r="B36" s="698" t="s">
        <v>24</v>
      </c>
      <c r="C36" s="699"/>
      <c r="D36" s="699"/>
      <c r="E36" s="699"/>
      <c r="F36" s="699"/>
    </row>
    <row r="37" spans="1:6" ht="15.75" customHeight="1" x14ac:dyDescent="0.25">
      <c r="A37" s="672"/>
      <c r="B37" s="672"/>
      <c r="C37" s="672"/>
      <c r="D37" s="672"/>
      <c r="E37" s="672"/>
      <c r="F37" s="672"/>
    </row>
    <row r="38" spans="1:6" ht="16.5" customHeight="1" x14ac:dyDescent="0.3">
      <c r="A38" s="668" t="s">
        <v>1</v>
      </c>
      <c r="B38" s="669" t="s">
        <v>25</v>
      </c>
    </row>
    <row r="39" spans="1:6" ht="16.5" customHeight="1" x14ac:dyDescent="0.3">
      <c r="A39" s="673" t="s">
        <v>4</v>
      </c>
      <c r="B39" s="670"/>
      <c r="C39" s="672"/>
      <c r="D39" s="672"/>
      <c r="E39" s="672"/>
      <c r="F39" s="672"/>
    </row>
    <row r="40" spans="1:6" ht="16.5" customHeight="1" x14ac:dyDescent="0.3">
      <c r="A40" s="673" t="s">
        <v>6</v>
      </c>
      <c r="B40" s="674"/>
      <c r="C40" s="672"/>
      <c r="D40" s="672"/>
      <c r="E40" s="672"/>
      <c r="F40" s="672"/>
    </row>
    <row r="41" spans="1:6" ht="16.5" customHeight="1" x14ac:dyDescent="0.3">
      <c r="A41" s="670" t="s">
        <v>8</v>
      </c>
      <c r="B41" s="674"/>
      <c r="C41" s="672"/>
      <c r="D41" s="672"/>
      <c r="E41" s="672"/>
      <c r="F41" s="672"/>
    </row>
    <row r="42" spans="1:6" ht="16.5" customHeight="1" x14ac:dyDescent="0.3">
      <c r="A42" s="670" t="s">
        <v>10</v>
      </c>
      <c r="B42" s="675"/>
      <c r="C42" s="672"/>
      <c r="D42" s="672"/>
      <c r="E42" s="672"/>
      <c r="F42" s="672"/>
    </row>
    <row r="43" spans="1:6" ht="15.75" customHeight="1" x14ac:dyDescent="0.25">
      <c r="A43" s="672"/>
      <c r="B43" s="672"/>
      <c r="C43" s="672"/>
      <c r="D43" s="672"/>
      <c r="E43" s="672"/>
      <c r="F43" s="672"/>
    </row>
    <row r="44" spans="1:6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  <c r="F44" s="700"/>
    </row>
    <row r="45" spans="1:6" ht="16.5" customHeight="1" x14ac:dyDescent="0.3">
      <c r="A45" s="678">
        <v>1</v>
      </c>
      <c r="B45" s="679"/>
      <c r="C45" s="679"/>
      <c r="D45" s="680"/>
      <c r="E45" s="681"/>
      <c r="F45" s="701"/>
    </row>
    <row r="46" spans="1:6" ht="16.5" customHeight="1" x14ac:dyDescent="0.3">
      <c r="A46" s="678">
        <v>2</v>
      </c>
      <c r="B46" s="679"/>
      <c r="C46" s="679"/>
      <c r="D46" s="680"/>
      <c r="E46" s="680"/>
      <c r="F46" s="701"/>
    </row>
    <row r="47" spans="1:6" ht="16.5" customHeight="1" x14ac:dyDescent="0.3">
      <c r="A47" s="678">
        <v>3</v>
      </c>
      <c r="B47" s="679"/>
      <c r="C47" s="679"/>
      <c r="D47" s="680"/>
      <c r="E47" s="680"/>
      <c r="F47" s="701"/>
    </row>
    <row r="48" spans="1:6" ht="16.5" customHeight="1" x14ac:dyDescent="0.3">
      <c r="A48" s="678">
        <v>4</v>
      </c>
      <c r="B48" s="679"/>
      <c r="C48" s="679"/>
      <c r="D48" s="680"/>
      <c r="E48" s="680"/>
      <c r="F48" s="701"/>
    </row>
    <row r="49" spans="1:8" ht="16.5" customHeight="1" x14ac:dyDescent="0.3">
      <c r="A49" s="678">
        <v>5</v>
      </c>
      <c r="B49" s="679"/>
      <c r="C49" s="679"/>
      <c r="D49" s="680"/>
      <c r="E49" s="680"/>
      <c r="F49" s="701"/>
    </row>
    <row r="50" spans="1:8" ht="16.5" customHeight="1" x14ac:dyDescent="0.3">
      <c r="A50" s="678">
        <v>6</v>
      </c>
      <c r="B50" s="682"/>
      <c r="C50" s="682"/>
      <c r="D50" s="683"/>
      <c r="E50" s="683"/>
      <c r="F50" s="701"/>
    </row>
    <row r="51" spans="1:8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  <c r="F51" s="702"/>
    </row>
    <row r="52" spans="1:8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  <c r="F52" s="692"/>
    </row>
    <row r="53" spans="1:8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  <c r="F53" s="692"/>
    </row>
    <row r="54" spans="1:8" s="664" customFormat="1" ht="15.75" customHeight="1" x14ac:dyDescent="0.25">
      <c r="A54" s="672"/>
      <c r="B54" s="672"/>
      <c r="C54" s="672"/>
      <c r="D54" s="672"/>
      <c r="E54" s="672"/>
      <c r="F54" s="672"/>
    </row>
    <row r="55" spans="1:8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  <c r="F55" s="699"/>
    </row>
    <row r="56" spans="1:8" ht="16.5" customHeight="1" x14ac:dyDescent="0.3">
      <c r="A56" s="673"/>
      <c r="B56" s="698" t="s">
        <v>23</v>
      </c>
      <c r="C56" s="699"/>
      <c r="D56" s="699"/>
      <c r="E56" s="699"/>
      <c r="F56" s="699"/>
    </row>
    <row r="57" spans="1:8" ht="16.5" customHeight="1" x14ac:dyDescent="0.3">
      <c r="A57" s="673"/>
      <c r="B57" s="698" t="s">
        <v>24</v>
      </c>
      <c r="C57" s="699"/>
      <c r="D57" s="699"/>
      <c r="E57" s="699"/>
      <c r="F57" s="699"/>
    </row>
    <row r="58" spans="1:8" ht="14.25" customHeight="1" thickBot="1" x14ac:dyDescent="0.3">
      <c r="A58" s="703"/>
      <c r="B58" s="704"/>
      <c r="D58" s="705"/>
      <c r="G58" s="706"/>
      <c r="H58" s="706"/>
    </row>
    <row r="59" spans="1:8" ht="15" customHeight="1" x14ac:dyDescent="0.3">
      <c r="B59" s="707" t="s">
        <v>26</v>
      </c>
      <c r="C59" s="707"/>
      <c r="E59" s="708" t="s">
        <v>27</v>
      </c>
      <c r="F59" s="708"/>
      <c r="G59" s="709"/>
      <c r="H59" s="708" t="s">
        <v>28</v>
      </c>
    </row>
    <row r="60" spans="1:8" ht="15" customHeight="1" x14ac:dyDescent="0.3">
      <c r="A60" s="710" t="s">
        <v>29</v>
      </c>
      <c r="B60" s="711"/>
      <c r="C60" s="711"/>
      <c r="E60" s="711"/>
      <c r="F60" s="712"/>
      <c r="H60" s="711"/>
    </row>
    <row r="61" spans="1:8" ht="15" customHeight="1" x14ac:dyDescent="0.3">
      <c r="A61" s="710" t="s">
        <v>30</v>
      </c>
      <c r="B61" s="713"/>
      <c r="C61" s="713"/>
      <c r="E61" s="713"/>
      <c r="F61" s="714"/>
      <c r="H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1"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706"/>
  </cols>
  <sheetData>
    <row r="14" spans="1:6" ht="15" customHeight="1" x14ac:dyDescent="0.3">
      <c r="A14" s="663"/>
      <c r="C14" s="665"/>
      <c r="F14" s="665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138</v>
      </c>
      <c r="D17" s="671"/>
      <c r="E17" s="672"/>
    </row>
    <row r="18" spans="1:6" ht="16.5" customHeight="1" x14ac:dyDescent="0.3">
      <c r="A18" s="673" t="s">
        <v>4</v>
      </c>
      <c r="B18" s="670" t="str">
        <f>'SST Lamivudine'!B18</f>
        <v>NDQB201707059</v>
      </c>
      <c r="C18" s="672"/>
      <c r="D18" s="672"/>
      <c r="E18" s="672"/>
    </row>
    <row r="19" spans="1:6" ht="16.5" customHeight="1" x14ac:dyDescent="0.3">
      <c r="A19" s="673" t="s">
        <v>6</v>
      </c>
      <c r="B19" s="674">
        <v>99.65</v>
      </c>
      <c r="C19" s="672"/>
      <c r="D19" s="672"/>
      <c r="E19" s="672"/>
    </row>
    <row r="20" spans="1:6" ht="16.5" customHeight="1" x14ac:dyDescent="0.3">
      <c r="A20" s="670" t="s">
        <v>8</v>
      </c>
      <c r="B20" s="674">
        <v>29.6</v>
      </c>
      <c r="C20" s="672"/>
      <c r="D20" s="672"/>
      <c r="E20" s="672"/>
    </row>
    <row r="21" spans="1:6" ht="16.5" customHeight="1" x14ac:dyDescent="0.3">
      <c r="A21" s="670" t="s">
        <v>10</v>
      </c>
      <c r="B21" s="675">
        <v>0.29599999999999999</v>
      </c>
      <c r="C21" s="672"/>
      <c r="D21" s="672"/>
      <c r="E21" s="672"/>
    </row>
    <row r="22" spans="1:6" ht="15.75" customHeight="1" x14ac:dyDescent="0.25">
      <c r="A22" s="672"/>
      <c r="B22" s="672" t="s">
        <v>139</v>
      </c>
      <c r="C22" s="672"/>
      <c r="D22" s="672"/>
      <c r="E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  <c r="F23" s="676" t="s">
        <v>140</v>
      </c>
    </row>
    <row r="24" spans="1:6" ht="16.5" customHeight="1" x14ac:dyDescent="0.3">
      <c r="A24" s="678">
        <v>1</v>
      </c>
      <c r="B24" s="679">
        <v>67003804</v>
      </c>
      <c r="C24" s="679">
        <v>8793.2999999999993</v>
      </c>
      <c r="D24" s="680">
        <v>1.1000000000000001</v>
      </c>
      <c r="E24" s="681">
        <v>5.7</v>
      </c>
      <c r="F24" s="681">
        <v>5.7</v>
      </c>
    </row>
    <row r="25" spans="1:6" ht="16.5" customHeight="1" x14ac:dyDescent="0.3">
      <c r="A25" s="678">
        <v>2</v>
      </c>
      <c r="B25" s="679">
        <v>66917929</v>
      </c>
      <c r="C25" s="679">
        <v>8809.2999999999993</v>
      </c>
      <c r="D25" s="680">
        <v>1.1000000000000001</v>
      </c>
      <c r="E25" s="680">
        <v>5.7</v>
      </c>
      <c r="F25" s="680">
        <v>5.7</v>
      </c>
    </row>
    <row r="26" spans="1:6" ht="16.5" customHeight="1" x14ac:dyDescent="0.3">
      <c r="A26" s="678">
        <v>3</v>
      </c>
      <c r="B26" s="679">
        <v>66974919</v>
      </c>
      <c r="C26" s="679">
        <v>8778.2999999999993</v>
      </c>
      <c r="D26" s="680">
        <v>1.1000000000000001</v>
      </c>
      <c r="E26" s="680">
        <v>5.7</v>
      </c>
      <c r="F26" s="680">
        <v>5.7</v>
      </c>
    </row>
    <row r="27" spans="1:6" ht="16.5" customHeight="1" x14ac:dyDescent="0.3">
      <c r="A27" s="678">
        <v>4</v>
      </c>
      <c r="B27" s="679">
        <v>67001546</v>
      </c>
      <c r="C27" s="679">
        <v>8787.7999999999993</v>
      </c>
      <c r="D27" s="680">
        <v>1.1000000000000001</v>
      </c>
      <c r="E27" s="680">
        <v>5.7</v>
      </c>
      <c r="F27" s="680">
        <v>5.7</v>
      </c>
    </row>
    <row r="28" spans="1:6" ht="16.5" customHeight="1" x14ac:dyDescent="0.3">
      <c r="A28" s="678">
        <v>5</v>
      </c>
      <c r="B28" s="679">
        <v>66815267</v>
      </c>
      <c r="C28" s="679">
        <v>8735.9</v>
      </c>
      <c r="D28" s="680">
        <v>1.1000000000000001</v>
      </c>
      <c r="E28" s="680">
        <v>5.7</v>
      </c>
      <c r="F28" s="680">
        <v>5.7</v>
      </c>
    </row>
    <row r="29" spans="1:6" ht="16.5" customHeight="1" x14ac:dyDescent="0.3">
      <c r="A29" s="678">
        <v>6</v>
      </c>
      <c r="B29" s="682">
        <v>67001712</v>
      </c>
      <c r="C29" s="682">
        <v>8714.5</v>
      </c>
      <c r="D29" s="683">
        <v>1.1000000000000001</v>
      </c>
      <c r="E29" s="683">
        <v>5.7</v>
      </c>
      <c r="F29" s="683">
        <v>5.7</v>
      </c>
    </row>
    <row r="30" spans="1:6" ht="16.5" customHeight="1" x14ac:dyDescent="0.3">
      <c r="A30" s="684" t="s">
        <v>18</v>
      </c>
      <c r="B30" s="685">
        <f>AVERAGE(B24:B29)</f>
        <v>66952529.5</v>
      </c>
      <c r="C30" s="686">
        <f>AVERAGE(C24:C29)</f>
        <v>8769.85</v>
      </c>
      <c r="D30" s="687">
        <f>AVERAGE(D24:D29)</f>
        <v>1.0999999999999999</v>
      </c>
      <c r="E30" s="687">
        <f>AVERAGE(E24:E29)</f>
        <v>5.7</v>
      </c>
      <c r="F30" s="687">
        <f>AVERAGE(F24:F29)</f>
        <v>5.7</v>
      </c>
    </row>
    <row r="31" spans="1:6" ht="16.5" customHeight="1" x14ac:dyDescent="0.3">
      <c r="A31" s="688" t="s">
        <v>19</v>
      </c>
      <c r="B31" s="689">
        <f>(STDEV(B24:B29)/B30)</f>
        <v>1.1175067148189713E-3</v>
      </c>
      <c r="C31" s="690"/>
      <c r="D31" s="690"/>
      <c r="E31" s="691"/>
      <c r="F31" s="691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7"/>
    </row>
    <row r="33" spans="1:5" s="664" customFormat="1" ht="15.75" customHeight="1" x14ac:dyDescent="0.25">
      <c r="A33" s="672"/>
      <c r="B33" s="672"/>
      <c r="C33" s="672"/>
      <c r="D33" s="672"/>
      <c r="E33" s="672"/>
    </row>
    <row r="34" spans="1:5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</row>
    <row r="35" spans="1:5" ht="16.5" customHeight="1" x14ac:dyDescent="0.3">
      <c r="A35" s="673"/>
      <c r="B35" s="698" t="s">
        <v>23</v>
      </c>
      <c r="C35" s="699"/>
      <c r="D35" s="699"/>
      <c r="E35" s="699"/>
    </row>
    <row r="36" spans="1:5" ht="16.5" customHeight="1" x14ac:dyDescent="0.3">
      <c r="A36" s="673"/>
      <c r="B36" s="698" t="s">
        <v>24</v>
      </c>
      <c r="C36" s="699"/>
      <c r="D36" s="699"/>
      <c r="E36" s="699"/>
    </row>
    <row r="37" spans="1:5" ht="15.75" customHeight="1" x14ac:dyDescent="0.3">
      <c r="A37" s="672"/>
      <c r="B37" s="672" t="s">
        <v>141</v>
      </c>
      <c r="C37" s="672"/>
      <c r="D37" s="672"/>
      <c r="E37" s="672"/>
    </row>
    <row r="38" spans="1:5" ht="16.5" customHeight="1" x14ac:dyDescent="0.3">
      <c r="A38" s="668" t="s">
        <v>1</v>
      </c>
      <c r="B38" s="669" t="s">
        <v>25</v>
      </c>
    </row>
    <row r="39" spans="1:5" ht="16.5" customHeight="1" x14ac:dyDescent="0.3">
      <c r="A39" s="673" t="s">
        <v>4</v>
      </c>
      <c r="B39" s="670"/>
      <c r="C39" s="672"/>
      <c r="D39" s="672"/>
      <c r="E39" s="672"/>
    </row>
    <row r="40" spans="1:5" ht="16.5" customHeight="1" x14ac:dyDescent="0.3">
      <c r="A40" s="673" t="s">
        <v>6</v>
      </c>
      <c r="B40" s="674"/>
      <c r="C40" s="672"/>
      <c r="D40" s="672"/>
      <c r="E40" s="672"/>
    </row>
    <row r="41" spans="1:5" ht="16.5" customHeight="1" x14ac:dyDescent="0.3">
      <c r="A41" s="670" t="s">
        <v>8</v>
      </c>
      <c r="B41" s="674"/>
      <c r="C41" s="672"/>
      <c r="D41" s="672"/>
      <c r="E41" s="672"/>
    </row>
    <row r="42" spans="1:5" ht="16.5" customHeight="1" x14ac:dyDescent="0.3">
      <c r="A42" s="670" t="s">
        <v>10</v>
      </c>
      <c r="B42" s="675"/>
      <c r="C42" s="672"/>
      <c r="D42" s="672"/>
      <c r="E42" s="672"/>
    </row>
    <row r="43" spans="1:5" ht="15.75" customHeight="1" x14ac:dyDescent="0.25">
      <c r="A43" s="672"/>
      <c r="B43" s="672"/>
      <c r="C43" s="672"/>
      <c r="D43" s="672"/>
      <c r="E43" s="672"/>
    </row>
    <row r="44" spans="1:5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</row>
    <row r="45" spans="1:5" ht="16.5" customHeight="1" x14ac:dyDescent="0.3">
      <c r="A45" s="678">
        <v>1</v>
      </c>
      <c r="B45" s="679"/>
      <c r="C45" s="679"/>
      <c r="D45" s="680"/>
      <c r="E45" s="681"/>
    </row>
    <row r="46" spans="1:5" ht="16.5" customHeight="1" x14ac:dyDescent="0.3">
      <c r="A46" s="678">
        <v>2</v>
      </c>
      <c r="B46" s="679"/>
      <c r="C46" s="679"/>
      <c r="D46" s="680"/>
      <c r="E46" s="680"/>
    </row>
    <row r="47" spans="1:5" ht="16.5" customHeight="1" x14ac:dyDescent="0.3">
      <c r="A47" s="678">
        <v>3</v>
      </c>
      <c r="B47" s="679"/>
      <c r="C47" s="679"/>
      <c r="D47" s="680"/>
      <c r="E47" s="680"/>
    </row>
    <row r="48" spans="1:5" ht="16.5" customHeight="1" x14ac:dyDescent="0.3">
      <c r="A48" s="678">
        <v>4</v>
      </c>
      <c r="B48" s="679"/>
      <c r="C48" s="679"/>
      <c r="D48" s="680"/>
      <c r="E48" s="680"/>
    </row>
    <row r="49" spans="1:7" ht="16.5" customHeight="1" x14ac:dyDescent="0.3">
      <c r="A49" s="678">
        <v>5</v>
      </c>
      <c r="B49" s="679"/>
      <c r="C49" s="679"/>
      <c r="D49" s="680"/>
      <c r="E49" s="680"/>
    </row>
    <row r="50" spans="1:7" ht="16.5" customHeight="1" x14ac:dyDescent="0.3">
      <c r="A50" s="678">
        <v>6</v>
      </c>
      <c r="B50" s="682"/>
      <c r="C50" s="682"/>
      <c r="D50" s="683"/>
      <c r="E50" s="683"/>
    </row>
    <row r="51" spans="1:7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</row>
    <row r="52" spans="1:7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</row>
    <row r="53" spans="1:7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</row>
    <row r="54" spans="1:7" s="664" customFormat="1" ht="15.75" customHeight="1" x14ac:dyDescent="0.25">
      <c r="A54" s="672"/>
      <c r="B54" s="672"/>
      <c r="C54" s="672"/>
      <c r="D54" s="672"/>
      <c r="E54" s="672"/>
    </row>
    <row r="55" spans="1:7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</row>
    <row r="56" spans="1:7" ht="16.5" customHeight="1" x14ac:dyDescent="0.3">
      <c r="A56" s="673"/>
      <c r="B56" s="698" t="s">
        <v>23</v>
      </c>
      <c r="C56" s="699"/>
      <c r="D56" s="699"/>
      <c r="E56" s="699"/>
    </row>
    <row r="57" spans="1:7" ht="16.5" customHeight="1" x14ac:dyDescent="0.3">
      <c r="A57" s="673"/>
      <c r="B57" s="698" t="s">
        <v>24</v>
      </c>
      <c r="C57" s="699"/>
      <c r="D57" s="699"/>
      <c r="E57" s="699"/>
    </row>
    <row r="58" spans="1:7" ht="14.25" customHeight="1" thickBot="1" x14ac:dyDescent="0.3">
      <c r="A58" s="703"/>
      <c r="B58" s="704"/>
      <c r="D58" s="705"/>
      <c r="F58" s="706"/>
      <c r="G58" s="706"/>
    </row>
    <row r="59" spans="1:7" ht="15" customHeight="1" x14ac:dyDescent="0.3">
      <c r="B59" s="707" t="s">
        <v>26</v>
      </c>
      <c r="C59" s="707"/>
      <c r="E59" s="708" t="s">
        <v>27</v>
      </c>
      <c r="F59" s="709"/>
      <c r="G59" s="708" t="s">
        <v>28</v>
      </c>
    </row>
    <row r="60" spans="1:7" ht="15" customHeight="1" x14ac:dyDescent="0.3">
      <c r="A60" s="710" t="s">
        <v>29</v>
      </c>
      <c r="B60" s="711"/>
      <c r="C60" s="711"/>
      <c r="E60" s="711"/>
      <c r="G60" s="711"/>
    </row>
    <row r="61" spans="1:7" ht="15" customHeight="1" x14ac:dyDescent="0.3">
      <c r="A61" s="710" t="s">
        <v>30</v>
      </c>
      <c r="B61" s="713"/>
      <c r="C61" s="713"/>
      <c r="E61" s="713"/>
      <c r="G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706"/>
  </cols>
  <sheetData>
    <row r="14" spans="1:6" ht="15" customHeight="1" x14ac:dyDescent="0.3">
      <c r="A14" s="663"/>
      <c r="C14" s="665"/>
      <c r="F14" s="665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138</v>
      </c>
      <c r="D17" s="671"/>
      <c r="E17" s="672"/>
    </row>
    <row r="18" spans="1:6" ht="16.5" customHeight="1" x14ac:dyDescent="0.3">
      <c r="A18" s="673" t="s">
        <v>4</v>
      </c>
      <c r="B18" s="670" t="str">
        <f>'SST Zidovudine'!B18</f>
        <v>NDQB201707059</v>
      </c>
      <c r="C18" s="672"/>
      <c r="D18" s="672"/>
      <c r="E18" s="672"/>
    </row>
    <row r="19" spans="1:6" ht="16.5" customHeight="1" x14ac:dyDescent="0.3">
      <c r="A19" s="673" t="s">
        <v>6</v>
      </c>
      <c r="B19" s="674">
        <v>99.7</v>
      </c>
      <c r="C19" s="672"/>
      <c r="D19" s="672"/>
      <c r="E19" s="672"/>
    </row>
    <row r="20" spans="1:6" ht="16.5" customHeight="1" x14ac:dyDescent="0.3">
      <c r="A20" s="670" t="s">
        <v>8</v>
      </c>
      <c r="B20" s="674">
        <v>19.04</v>
      </c>
      <c r="C20" s="672"/>
      <c r="D20" s="672"/>
      <c r="E20" s="672"/>
    </row>
    <row r="21" spans="1:6" ht="16.5" customHeight="1" x14ac:dyDescent="0.3">
      <c r="A21" s="670" t="s">
        <v>10</v>
      </c>
      <c r="B21" s="675">
        <v>0.19039999999999999</v>
      </c>
      <c r="C21" s="672"/>
      <c r="D21" s="672"/>
      <c r="E21" s="672"/>
    </row>
    <row r="22" spans="1:6" ht="15.75" customHeight="1" x14ac:dyDescent="0.25">
      <c r="A22" s="672"/>
      <c r="B22" s="672" t="s">
        <v>142</v>
      </c>
      <c r="C22" s="672"/>
      <c r="D22" s="672"/>
      <c r="E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  <c r="F23" s="676" t="s">
        <v>140</v>
      </c>
    </row>
    <row r="24" spans="1:6" ht="16.5" customHeight="1" x14ac:dyDescent="0.3">
      <c r="A24" s="678">
        <v>1</v>
      </c>
      <c r="B24" s="679">
        <v>32025323</v>
      </c>
      <c r="C24" s="679">
        <v>8990.6</v>
      </c>
      <c r="D24" s="680">
        <v>1</v>
      </c>
      <c r="E24" s="681">
        <v>10.3</v>
      </c>
      <c r="F24" s="681">
        <v>13.8</v>
      </c>
    </row>
    <row r="25" spans="1:6" ht="16.5" customHeight="1" x14ac:dyDescent="0.3">
      <c r="A25" s="678">
        <v>2</v>
      </c>
      <c r="B25" s="679">
        <v>31978064</v>
      </c>
      <c r="C25" s="679">
        <v>8990.5</v>
      </c>
      <c r="D25" s="680">
        <v>1</v>
      </c>
      <c r="E25" s="680">
        <v>10.4</v>
      </c>
      <c r="F25" s="680">
        <v>13.8</v>
      </c>
    </row>
    <row r="26" spans="1:6" ht="16.5" customHeight="1" x14ac:dyDescent="0.3">
      <c r="A26" s="678">
        <v>3</v>
      </c>
      <c r="B26" s="679">
        <v>32006635</v>
      </c>
      <c r="C26" s="679">
        <v>8991.2000000000007</v>
      </c>
      <c r="D26" s="680">
        <v>1</v>
      </c>
      <c r="E26" s="680">
        <v>10.4</v>
      </c>
      <c r="F26" s="680">
        <v>13.8</v>
      </c>
    </row>
    <row r="27" spans="1:6" ht="16.5" customHeight="1" x14ac:dyDescent="0.3">
      <c r="A27" s="678">
        <v>4</v>
      </c>
      <c r="B27" s="679">
        <v>32017733</v>
      </c>
      <c r="C27" s="679">
        <v>8971.6</v>
      </c>
      <c r="D27" s="680">
        <v>1</v>
      </c>
      <c r="E27" s="680">
        <v>10.4</v>
      </c>
      <c r="F27" s="680">
        <v>13.8</v>
      </c>
    </row>
    <row r="28" spans="1:6" ht="16.5" customHeight="1" x14ac:dyDescent="0.3">
      <c r="A28" s="678">
        <v>5</v>
      </c>
      <c r="B28" s="679">
        <v>31924453</v>
      </c>
      <c r="C28" s="679">
        <v>8966.6</v>
      </c>
      <c r="D28" s="680">
        <v>1</v>
      </c>
      <c r="E28" s="680">
        <v>10.4</v>
      </c>
      <c r="F28" s="680">
        <v>13.8</v>
      </c>
    </row>
    <row r="29" spans="1:6" ht="16.5" customHeight="1" x14ac:dyDescent="0.3">
      <c r="A29" s="678">
        <v>6</v>
      </c>
      <c r="B29" s="682">
        <v>32019642</v>
      </c>
      <c r="C29" s="682">
        <v>8970.2000000000007</v>
      </c>
      <c r="D29" s="683">
        <v>1</v>
      </c>
      <c r="E29" s="683">
        <v>10.4</v>
      </c>
      <c r="F29" s="683">
        <v>13.8</v>
      </c>
    </row>
    <row r="30" spans="1:6" ht="16.5" customHeight="1" x14ac:dyDescent="0.3">
      <c r="A30" s="684" t="s">
        <v>18</v>
      </c>
      <c r="B30" s="685">
        <f>AVERAGE(B24:B29)</f>
        <v>31995308.333333332</v>
      </c>
      <c r="C30" s="686">
        <f>AVERAGE(C24:C29)</f>
        <v>8980.1166666666668</v>
      </c>
      <c r="D30" s="687">
        <f>AVERAGE(D24:D29)</f>
        <v>1</v>
      </c>
      <c r="E30" s="687">
        <f>AVERAGE(E24:E29)</f>
        <v>10.383333333333333</v>
      </c>
      <c r="F30" s="687">
        <f>AVERAGE(F24:F29)</f>
        <v>13.799999999999999</v>
      </c>
    </row>
    <row r="31" spans="1:6" ht="16.5" customHeight="1" x14ac:dyDescent="0.3">
      <c r="A31" s="688" t="s">
        <v>19</v>
      </c>
      <c r="B31" s="689">
        <f>(STDEV(B24:B29)/B30)</f>
        <v>1.2057961087663565E-3</v>
      </c>
      <c r="C31" s="690"/>
      <c r="D31" s="690"/>
      <c r="E31" s="691"/>
      <c r="F31" s="691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7"/>
    </row>
    <row r="33" spans="1:5" s="664" customFormat="1" ht="15.75" customHeight="1" x14ac:dyDescent="0.25">
      <c r="A33" s="672"/>
      <c r="B33" s="672"/>
      <c r="C33" s="672"/>
      <c r="D33" s="672"/>
      <c r="E33" s="672"/>
    </row>
    <row r="34" spans="1:5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</row>
    <row r="35" spans="1:5" ht="16.5" customHeight="1" x14ac:dyDescent="0.3">
      <c r="A35" s="673"/>
      <c r="B35" s="698" t="s">
        <v>23</v>
      </c>
      <c r="C35" s="699"/>
      <c r="D35" s="699"/>
      <c r="E35" s="699"/>
    </row>
    <row r="36" spans="1:5" ht="16.5" customHeight="1" x14ac:dyDescent="0.3">
      <c r="A36" s="673"/>
      <c r="B36" s="698" t="s">
        <v>24</v>
      </c>
      <c r="C36" s="699"/>
      <c r="D36" s="699"/>
      <c r="E36" s="699"/>
    </row>
    <row r="37" spans="1:5" ht="15.75" customHeight="1" x14ac:dyDescent="0.3">
      <c r="A37" s="672"/>
      <c r="B37" s="672" t="s">
        <v>143</v>
      </c>
      <c r="C37" s="672"/>
      <c r="D37" s="672"/>
      <c r="E37" s="672"/>
    </row>
    <row r="38" spans="1:5" ht="16.5" customHeight="1" x14ac:dyDescent="0.3">
      <c r="A38" s="668" t="s">
        <v>1</v>
      </c>
      <c r="B38" s="669" t="s">
        <v>25</v>
      </c>
    </row>
    <row r="39" spans="1:5" ht="16.5" customHeight="1" x14ac:dyDescent="0.3">
      <c r="A39" s="673" t="s">
        <v>4</v>
      </c>
      <c r="B39" s="670"/>
      <c r="C39" s="672"/>
      <c r="D39" s="672"/>
      <c r="E39" s="672"/>
    </row>
    <row r="40" spans="1:5" ht="16.5" customHeight="1" x14ac:dyDescent="0.3">
      <c r="A40" s="673" t="s">
        <v>6</v>
      </c>
      <c r="B40" s="674"/>
      <c r="C40" s="672"/>
      <c r="D40" s="672"/>
      <c r="E40" s="672"/>
    </row>
    <row r="41" spans="1:5" ht="16.5" customHeight="1" x14ac:dyDescent="0.3">
      <c r="A41" s="670" t="s">
        <v>8</v>
      </c>
      <c r="B41" s="674"/>
      <c r="C41" s="672"/>
      <c r="D41" s="672"/>
      <c r="E41" s="672"/>
    </row>
    <row r="42" spans="1:5" ht="16.5" customHeight="1" x14ac:dyDescent="0.3">
      <c r="A42" s="670" t="s">
        <v>10</v>
      </c>
      <c r="B42" s="675"/>
      <c r="C42" s="672"/>
      <c r="D42" s="672"/>
      <c r="E42" s="672"/>
    </row>
    <row r="43" spans="1:5" ht="15.75" customHeight="1" x14ac:dyDescent="0.25">
      <c r="A43" s="672"/>
      <c r="B43" s="672"/>
      <c r="C43" s="672"/>
      <c r="D43" s="672"/>
      <c r="E43" s="672"/>
    </row>
    <row r="44" spans="1:5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</row>
    <row r="45" spans="1:5" ht="16.5" customHeight="1" x14ac:dyDescent="0.3">
      <c r="A45" s="678">
        <v>1</v>
      </c>
      <c r="B45" s="679"/>
      <c r="C45" s="679"/>
      <c r="D45" s="680"/>
      <c r="E45" s="681"/>
    </row>
    <row r="46" spans="1:5" ht="16.5" customHeight="1" x14ac:dyDescent="0.3">
      <c r="A46" s="678">
        <v>2</v>
      </c>
      <c r="B46" s="679"/>
      <c r="C46" s="679"/>
      <c r="D46" s="680"/>
      <c r="E46" s="680"/>
    </row>
    <row r="47" spans="1:5" ht="16.5" customHeight="1" x14ac:dyDescent="0.3">
      <c r="A47" s="678">
        <v>3</v>
      </c>
      <c r="B47" s="679"/>
      <c r="C47" s="679"/>
      <c r="D47" s="680"/>
      <c r="E47" s="680"/>
    </row>
    <row r="48" spans="1:5" ht="16.5" customHeight="1" x14ac:dyDescent="0.3">
      <c r="A48" s="678">
        <v>4</v>
      </c>
      <c r="B48" s="679"/>
      <c r="C48" s="679"/>
      <c r="D48" s="680"/>
      <c r="E48" s="680"/>
    </row>
    <row r="49" spans="1:7" ht="16.5" customHeight="1" x14ac:dyDescent="0.3">
      <c r="A49" s="678">
        <v>5</v>
      </c>
      <c r="B49" s="679"/>
      <c r="C49" s="679"/>
      <c r="D49" s="680"/>
      <c r="E49" s="680"/>
    </row>
    <row r="50" spans="1:7" ht="16.5" customHeight="1" x14ac:dyDescent="0.3">
      <c r="A50" s="678">
        <v>6</v>
      </c>
      <c r="B50" s="682"/>
      <c r="C50" s="682"/>
      <c r="D50" s="683"/>
      <c r="E50" s="683"/>
    </row>
    <row r="51" spans="1:7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</row>
    <row r="52" spans="1:7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</row>
    <row r="53" spans="1:7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</row>
    <row r="54" spans="1:7" s="664" customFormat="1" ht="15.75" customHeight="1" x14ac:dyDescent="0.25">
      <c r="A54" s="672"/>
      <c r="B54" s="672"/>
      <c r="C54" s="672"/>
      <c r="D54" s="672"/>
      <c r="E54" s="672"/>
    </row>
    <row r="55" spans="1:7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</row>
    <row r="56" spans="1:7" ht="16.5" customHeight="1" x14ac:dyDescent="0.3">
      <c r="A56" s="673"/>
      <c r="B56" s="698" t="s">
        <v>23</v>
      </c>
      <c r="C56" s="699"/>
      <c r="D56" s="699"/>
      <c r="E56" s="699"/>
    </row>
    <row r="57" spans="1:7" ht="16.5" customHeight="1" x14ac:dyDescent="0.3">
      <c r="A57" s="673"/>
      <c r="B57" s="698" t="s">
        <v>24</v>
      </c>
      <c r="C57" s="699"/>
      <c r="D57" s="699"/>
      <c r="E57" s="699"/>
    </row>
    <row r="58" spans="1:7" ht="14.25" customHeight="1" thickBot="1" x14ac:dyDescent="0.3">
      <c r="A58" s="703"/>
      <c r="B58" s="704"/>
      <c r="D58" s="705"/>
      <c r="F58" s="706"/>
      <c r="G58" s="706"/>
    </row>
    <row r="59" spans="1:7" ht="15" customHeight="1" x14ac:dyDescent="0.3">
      <c r="B59" s="707" t="s">
        <v>26</v>
      </c>
      <c r="C59" s="707"/>
      <c r="E59" s="708" t="s">
        <v>27</v>
      </c>
      <c r="F59" s="709"/>
      <c r="G59" s="708" t="s">
        <v>28</v>
      </c>
    </row>
    <row r="60" spans="1:7" ht="15" customHeight="1" x14ac:dyDescent="0.3">
      <c r="A60" s="710" t="s">
        <v>29</v>
      </c>
      <c r="B60" s="711"/>
      <c r="C60" s="711"/>
      <c r="E60" s="711"/>
      <c r="G60" s="711"/>
    </row>
    <row r="61" spans="1:7" ht="15" customHeight="1" x14ac:dyDescent="0.3">
      <c r="A61" s="710" t="s">
        <v>30</v>
      </c>
      <c r="B61" s="713"/>
      <c r="C61" s="713"/>
      <c r="E61" s="713"/>
      <c r="G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17" t="s">
        <v>31</v>
      </c>
      <c r="B11" s="618"/>
      <c r="C11" s="618"/>
      <c r="D11" s="618"/>
      <c r="E11" s="618"/>
      <c r="F11" s="619"/>
      <c r="G11" s="43"/>
    </row>
    <row r="12" spans="1:7" ht="16.5" customHeight="1" x14ac:dyDescent="0.3">
      <c r="A12" s="616" t="s">
        <v>32</v>
      </c>
      <c r="B12" s="616"/>
      <c r="C12" s="616"/>
      <c r="D12" s="616"/>
      <c r="E12" s="616"/>
      <c r="F12" s="616"/>
      <c r="G12" s="42"/>
    </row>
    <row r="14" spans="1:7" ht="16.5" customHeight="1" x14ac:dyDescent="0.3">
      <c r="A14" s="621" t="s">
        <v>33</v>
      </c>
      <c r="B14" s="621"/>
      <c r="C14" s="12" t="s">
        <v>5</v>
      </c>
    </row>
    <row r="15" spans="1:7" ht="16.5" customHeight="1" x14ac:dyDescent="0.3">
      <c r="A15" s="621" t="s">
        <v>34</v>
      </c>
      <c r="B15" s="621"/>
      <c r="C15" s="12" t="s">
        <v>7</v>
      </c>
    </row>
    <row r="16" spans="1:7" ht="16.5" customHeight="1" x14ac:dyDescent="0.3">
      <c r="A16" s="621" t="s">
        <v>35</v>
      </c>
      <c r="B16" s="621"/>
      <c r="C16" s="12" t="s">
        <v>9</v>
      </c>
    </row>
    <row r="17" spans="1:5" ht="16.5" customHeight="1" x14ac:dyDescent="0.3">
      <c r="A17" s="621" t="s">
        <v>36</v>
      </c>
      <c r="B17" s="621"/>
      <c r="C17" s="12" t="s">
        <v>11</v>
      </c>
    </row>
    <row r="18" spans="1:5" ht="16.5" customHeight="1" x14ac:dyDescent="0.3">
      <c r="A18" s="621" t="s">
        <v>37</v>
      </c>
      <c r="B18" s="621"/>
      <c r="C18" s="49" t="s">
        <v>12</v>
      </c>
    </row>
    <row r="19" spans="1:5" ht="16.5" customHeight="1" x14ac:dyDescent="0.3">
      <c r="A19" s="621" t="s">
        <v>38</v>
      </c>
      <c r="B19" s="62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16" t="s">
        <v>1</v>
      </c>
      <c r="B21" s="616"/>
      <c r="C21" s="11" t="s">
        <v>39</v>
      </c>
      <c r="D21" s="18"/>
    </row>
    <row r="22" spans="1:5" ht="15.75" customHeight="1" x14ac:dyDescent="0.3">
      <c r="A22" s="620"/>
      <c r="B22" s="620"/>
      <c r="C22" s="9"/>
      <c r="D22" s="620"/>
      <c r="E22" s="62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1147.3699999999999</v>
      </c>
      <c r="D24" s="39">
        <f t="shared" ref="D24:D43" si="0">(C24-$C$46)/$C$46</f>
        <v>7.3419182928997004E-3</v>
      </c>
      <c r="E24" s="5"/>
    </row>
    <row r="25" spans="1:5" ht="15.75" customHeight="1" x14ac:dyDescent="0.3">
      <c r="C25" s="47">
        <v>1157.5899999999999</v>
      </c>
      <c r="D25" s="40">
        <f t="shared" si="0"/>
        <v>1.6314642353101261E-2</v>
      </c>
      <c r="E25" s="5"/>
    </row>
    <row r="26" spans="1:5" ht="15.75" customHeight="1" x14ac:dyDescent="0.3">
      <c r="C26" s="47">
        <v>1145.3800000000001</v>
      </c>
      <c r="D26" s="40">
        <f t="shared" si="0"/>
        <v>5.5947831774594749E-3</v>
      </c>
      <c r="E26" s="5"/>
    </row>
    <row r="27" spans="1:5" ht="15.75" customHeight="1" x14ac:dyDescent="0.3">
      <c r="C27" s="47">
        <v>1119.33</v>
      </c>
      <c r="D27" s="40">
        <f t="shared" si="0"/>
        <v>-1.7276005645265734E-2</v>
      </c>
      <c r="E27" s="5"/>
    </row>
    <row r="28" spans="1:5" ht="15.75" customHeight="1" x14ac:dyDescent="0.3">
      <c r="C28" s="47">
        <v>1143.73</v>
      </c>
      <c r="D28" s="40">
        <f t="shared" si="0"/>
        <v>4.1461535591294021E-3</v>
      </c>
      <c r="E28" s="5"/>
    </row>
    <row r="29" spans="1:5" ht="15.75" customHeight="1" x14ac:dyDescent="0.3">
      <c r="C29" s="47">
        <v>1144.3</v>
      </c>
      <c r="D29" s="40">
        <f t="shared" si="0"/>
        <v>4.6465892454615257E-3</v>
      </c>
      <c r="E29" s="5"/>
    </row>
    <row r="30" spans="1:5" ht="15.75" customHeight="1" x14ac:dyDescent="0.3">
      <c r="C30" s="47">
        <v>1137.8599999999999</v>
      </c>
      <c r="D30" s="40">
        <f t="shared" si="0"/>
        <v>-1.0074560527477093E-3</v>
      </c>
      <c r="E30" s="5"/>
    </row>
    <row r="31" spans="1:5" ht="15.75" customHeight="1" x14ac:dyDescent="0.3">
      <c r="C31" s="47">
        <v>1142.19</v>
      </c>
      <c r="D31" s="40">
        <f t="shared" si="0"/>
        <v>2.7940992486881065E-3</v>
      </c>
      <c r="E31" s="5"/>
    </row>
    <row r="32" spans="1:5" ht="15.75" customHeight="1" x14ac:dyDescent="0.3">
      <c r="C32" s="47">
        <v>1131.3</v>
      </c>
      <c r="D32" s="40">
        <f t="shared" si="0"/>
        <v>-6.7668562322899389E-3</v>
      </c>
      <c r="E32" s="5"/>
    </row>
    <row r="33" spans="1:7" ht="15.75" customHeight="1" x14ac:dyDescent="0.3">
      <c r="C33" s="47">
        <v>1133.98</v>
      </c>
      <c r="D33" s="40">
        <f t="shared" si="0"/>
        <v>-4.4139305491841963E-3</v>
      </c>
      <c r="E33" s="5"/>
    </row>
    <row r="34" spans="1:7" ht="15.75" customHeight="1" x14ac:dyDescent="0.3">
      <c r="C34" s="47">
        <v>1125.19</v>
      </c>
      <c r="D34" s="40">
        <f t="shared" si="0"/>
        <v>-1.213117560683304E-2</v>
      </c>
      <c r="E34" s="5"/>
    </row>
    <row r="35" spans="1:7" ht="15.75" customHeight="1" x14ac:dyDescent="0.3">
      <c r="C35" s="47">
        <v>1129.73</v>
      </c>
      <c r="D35" s="40">
        <f t="shared" si="0"/>
        <v>-8.1452492630644819E-3</v>
      </c>
      <c r="E35" s="5"/>
    </row>
    <row r="36" spans="1:7" ht="15.75" customHeight="1" x14ac:dyDescent="0.3">
      <c r="C36" s="47">
        <v>1144.44</v>
      </c>
      <c r="D36" s="40">
        <f t="shared" si="0"/>
        <v>4.769503273683552E-3</v>
      </c>
      <c r="E36" s="5"/>
    </row>
    <row r="37" spans="1:7" ht="15.75" customHeight="1" x14ac:dyDescent="0.3">
      <c r="C37" s="47">
        <v>1141.43</v>
      </c>
      <c r="D37" s="40">
        <f t="shared" si="0"/>
        <v>2.126851666911875E-3</v>
      </c>
      <c r="E37" s="5"/>
    </row>
    <row r="38" spans="1:7" ht="15.75" customHeight="1" x14ac:dyDescent="0.3">
      <c r="C38" s="47">
        <v>1133.6099999999999</v>
      </c>
      <c r="D38" s="40">
        <f t="shared" si="0"/>
        <v>-4.7387747666279957E-3</v>
      </c>
      <c r="E38" s="5"/>
    </row>
    <row r="39" spans="1:7" ht="15.75" customHeight="1" x14ac:dyDescent="0.3">
      <c r="C39" s="47">
        <v>1138.82</v>
      </c>
      <c r="D39" s="40">
        <f t="shared" si="0"/>
        <v>-1.646170020829538E-4</v>
      </c>
      <c r="E39" s="5"/>
    </row>
    <row r="40" spans="1:7" ht="15.75" customHeight="1" x14ac:dyDescent="0.3">
      <c r="C40" s="47">
        <v>1138.0899999999999</v>
      </c>
      <c r="D40" s="40">
        <f t="shared" si="0"/>
        <v>-8.055258635259366E-4</v>
      </c>
      <c r="E40" s="5"/>
    </row>
    <row r="41" spans="1:7" ht="15.75" customHeight="1" x14ac:dyDescent="0.3">
      <c r="C41" s="47">
        <v>1137.21</v>
      </c>
      <c r="D41" s="40">
        <f t="shared" si="0"/>
        <v>-1.5781283266351628E-3</v>
      </c>
      <c r="E41" s="5"/>
    </row>
    <row r="42" spans="1:7" ht="15.75" customHeight="1" x14ac:dyDescent="0.3">
      <c r="C42" s="47">
        <v>1135.51</v>
      </c>
      <c r="D42" s="40">
        <f t="shared" si="0"/>
        <v>-3.0706558121873172E-3</v>
      </c>
      <c r="E42" s="5"/>
    </row>
    <row r="43" spans="1:7" ht="16.5" customHeight="1" x14ac:dyDescent="0.3">
      <c r="C43" s="48">
        <v>1153.0899999999999</v>
      </c>
      <c r="D43" s="41">
        <f t="shared" si="0"/>
        <v>1.2363834303110367E-2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22780.149999999998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1139.0074999999999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14">
        <f>C46</f>
        <v>1139.0074999999999</v>
      </c>
      <c r="C49" s="45">
        <f>-IF(C46&lt;=80,10%,IF(C46&lt;250,7.5%,5%))</f>
        <v>-0.05</v>
      </c>
      <c r="D49" s="33">
        <f>IF(C46&lt;=80,C46*0.9,IF(C46&lt;250,C46*0.925,C46*0.95))</f>
        <v>1082.0571249999998</v>
      </c>
    </row>
    <row r="50" spans="1:6" ht="17.25" customHeight="1" x14ac:dyDescent="0.3">
      <c r="B50" s="615"/>
      <c r="C50" s="46">
        <f>IF(C46&lt;=80, 10%, IF(C46&lt;250, 7.5%, 5%))</f>
        <v>0.05</v>
      </c>
      <c r="D50" s="33">
        <f>IF(C46&lt;=80, C46*1.1, IF(C46&lt;250, C46*1.075, C46*1.05))</f>
        <v>1195.9578750000001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2" zoomScale="60" zoomScaleNormal="40" zoomScalePageLayoutView="55" workbookViewId="0">
      <selection activeCell="F60" sqref="F6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50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52" t="s">
        <v>33</v>
      </c>
      <c r="B18" s="654" t="s">
        <v>5</v>
      </c>
      <c r="C18" s="65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59" t="s">
        <v>9</v>
      </c>
      <c r="C20" s="65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54" t="s">
        <v>131</v>
      </c>
      <c r="C26" s="654"/>
    </row>
    <row r="27" spans="1:14" ht="26.25" customHeight="1" x14ac:dyDescent="0.4">
      <c r="A27" s="61" t="s">
        <v>48</v>
      </c>
      <c r="B27" s="660" t="s">
        <v>132</v>
      </c>
      <c r="C27" s="660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</v>
      </c>
      <c r="C29" s="630" t="s">
        <v>50</v>
      </c>
      <c r="D29" s="631"/>
      <c r="E29" s="631"/>
      <c r="F29" s="631"/>
      <c r="G29" s="63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33" t="s">
        <v>53</v>
      </c>
      <c r="D31" s="634"/>
      <c r="E31" s="634"/>
      <c r="F31" s="634"/>
      <c r="G31" s="634"/>
      <c r="H31" s="63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33" t="s">
        <v>55</v>
      </c>
      <c r="D32" s="634"/>
      <c r="E32" s="634"/>
      <c r="F32" s="634"/>
      <c r="G32" s="634"/>
      <c r="H32" s="63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636" t="s">
        <v>59</v>
      </c>
      <c r="E36" s="661"/>
      <c r="F36" s="636" t="s">
        <v>60</v>
      </c>
      <c r="G36" s="63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37471617</v>
      </c>
      <c r="E38" s="85">
        <f>IF(ISBLANK(D38),"-",$D$48/$D$45*D38)</f>
        <v>38655088.933815479</v>
      </c>
      <c r="F38" s="84">
        <v>41247300</v>
      </c>
      <c r="G38" s="86">
        <f>IF(ISBLANK(F38),"-",$D$48/$F$45*F38)</f>
        <v>38833860.974903867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37551505</v>
      </c>
      <c r="E39" s="90">
        <f>IF(ISBLANK(D39),"-",$D$48/$D$45*D39)</f>
        <v>38737500.049000204</v>
      </c>
      <c r="F39" s="89">
        <v>40958430</v>
      </c>
      <c r="G39" s="91">
        <f>IF(ISBLANK(F39),"-",$D$48/$F$45*F39)</f>
        <v>38561893.175318912</v>
      </c>
      <c r="I39" s="638">
        <f>ABS((F43/D43*D42)-F42)/D42</f>
        <v>1.4979321251840593E-3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37533070</v>
      </c>
      <c r="E40" s="90">
        <f>IF(ISBLANK(D40),"-",$D$48/$D$45*D40)</f>
        <v>38718482.813515142</v>
      </c>
      <c r="F40" s="89">
        <v>41289991</v>
      </c>
      <c r="G40" s="91">
        <f>IF(ISBLANK(F40),"-",$D$48/$F$45*F40)</f>
        <v>38874054.062909134</v>
      </c>
      <c r="I40" s="63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37518730.666666664</v>
      </c>
      <c r="E42" s="100">
        <f>AVERAGE(E38:E41)</f>
        <v>38703690.598776944</v>
      </c>
      <c r="F42" s="99">
        <f>AVERAGE(F38:F41)</f>
        <v>41165240.333333336</v>
      </c>
      <c r="G42" s="101">
        <f>AVERAGE(G38:G41)</f>
        <v>38756602.737710632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14.63</v>
      </c>
      <c r="E43" s="92"/>
      <c r="F43" s="104">
        <v>16.03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14.63</v>
      </c>
      <c r="E44" s="107"/>
      <c r="F44" s="106">
        <f>F43*$B$34</f>
        <v>16.03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14.540757000000001</v>
      </c>
      <c r="E45" s="110"/>
      <c r="F45" s="109">
        <f>F44*$B$30/100</f>
        <v>15.932217000000001</v>
      </c>
      <c r="H45" s="102"/>
    </row>
    <row r="46" spans="1:14" ht="19.5" customHeight="1" x14ac:dyDescent="0.3">
      <c r="A46" s="624" t="s">
        <v>78</v>
      </c>
      <c r="B46" s="625"/>
      <c r="C46" s="105" t="s">
        <v>79</v>
      </c>
      <c r="D46" s="111">
        <f>D45/$B$45</f>
        <v>0.14540757000000001</v>
      </c>
      <c r="E46" s="112"/>
      <c r="F46" s="113">
        <f>F45/$B$45</f>
        <v>0.15932217000000001</v>
      </c>
      <c r="H46" s="102"/>
    </row>
    <row r="47" spans="1:14" ht="27" customHeight="1" x14ac:dyDescent="0.4">
      <c r="A47" s="626"/>
      <c r="B47" s="62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38730146.668243788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2.9574302755628729E-3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contains: Lamivudine USP 150 mg, Nevirapine USP 200 mg and Zidovudine USP 300 mg.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Lamivudine/Nevirapine/Zidovudine</v>
      </c>
      <c r="H56" s="131"/>
    </row>
    <row r="57" spans="1:12" ht="18.75" x14ac:dyDescent="0.3">
      <c r="A57" s="128" t="s">
        <v>88</v>
      </c>
      <c r="B57" s="199">
        <f>Uniformity!C46</f>
        <v>1139.0074999999999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641" t="s">
        <v>94</v>
      </c>
      <c r="D60" s="644">
        <v>1125.8499999999999</v>
      </c>
      <c r="E60" s="134">
        <v>1</v>
      </c>
      <c r="F60" s="135">
        <v>37519543</v>
      </c>
      <c r="G60" s="200">
        <f>IF(ISBLANK(F60),"-",(F60/$D$50*$D$47*$B$68)*($B$57/$D$60))</f>
        <v>147.0096044107276</v>
      </c>
      <c r="H60" s="218">
        <f t="shared" ref="H60:H71" si="0">IF(ISBLANK(F60),"-",(G60/$B$56)*100)</f>
        <v>98.006402940485074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642"/>
      <c r="D61" s="645"/>
      <c r="E61" s="136">
        <v>2</v>
      </c>
      <c r="F61" s="89">
        <v>37530432</v>
      </c>
      <c r="G61" s="201">
        <f>IF(ISBLANK(F61),"-",(F61/$D$50*$D$47*$B$68)*($B$57/$D$60))</f>
        <v>147.05226984464369</v>
      </c>
      <c r="H61" s="219">
        <f t="shared" si="0"/>
        <v>98.034846563095783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42"/>
      <c r="D62" s="645"/>
      <c r="E62" s="136">
        <v>3</v>
      </c>
      <c r="F62" s="137">
        <v>37497477</v>
      </c>
      <c r="G62" s="201">
        <f>IF(ISBLANK(F62),"-",(F62/$D$50*$D$47*$B$68)*($B$57/$D$60))</f>
        <v>146.92314509721925</v>
      </c>
      <c r="H62" s="219">
        <f t="shared" si="0"/>
        <v>97.94876339814617</v>
      </c>
      <c r="L62" s="64"/>
    </row>
    <row r="63" spans="1:12" ht="27" customHeight="1" x14ac:dyDescent="0.4">
      <c r="A63" s="76" t="s">
        <v>97</v>
      </c>
      <c r="B63" s="77">
        <v>1</v>
      </c>
      <c r="C63" s="651"/>
      <c r="D63" s="64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41" t="s">
        <v>99</v>
      </c>
      <c r="D64" s="644">
        <v>1140.76</v>
      </c>
      <c r="E64" s="134">
        <v>1</v>
      </c>
      <c r="F64" s="135">
        <v>37836838</v>
      </c>
      <c r="G64" s="200">
        <f>IF(ISBLANK(F64),"-",(F64/$D$50*$D$47*$B$68)*($B$57/$D$64))</f>
        <v>146.31513495466416</v>
      </c>
      <c r="H64" s="218">
        <f t="shared" si="0"/>
        <v>97.543423303109449</v>
      </c>
    </row>
    <row r="65" spans="1:8" ht="26.25" customHeight="1" x14ac:dyDescent="0.4">
      <c r="A65" s="76" t="s">
        <v>100</v>
      </c>
      <c r="B65" s="77">
        <v>1</v>
      </c>
      <c r="C65" s="642"/>
      <c r="D65" s="645"/>
      <c r="E65" s="136">
        <v>2</v>
      </c>
      <c r="F65" s="89">
        <v>37810819</v>
      </c>
      <c r="G65" s="201">
        <f>IF(ISBLANK(F65),"-",(F65/$D$50*$D$47*$B$68)*($B$57/$D$64))</f>
        <v>146.21451942499476</v>
      </c>
      <c r="H65" s="219">
        <f t="shared" si="0"/>
        <v>97.476346283329846</v>
      </c>
    </row>
    <row r="66" spans="1:8" ht="26.25" customHeight="1" x14ac:dyDescent="0.4">
      <c r="A66" s="76" t="s">
        <v>101</v>
      </c>
      <c r="B66" s="77">
        <v>1</v>
      </c>
      <c r="C66" s="642"/>
      <c r="D66" s="645"/>
      <c r="E66" s="136">
        <v>3</v>
      </c>
      <c r="F66" s="89">
        <v>37786787</v>
      </c>
      <c r="G66" s="201">
        <f>IF(ISBLANK(F66),"-",(F66/$D$50*$D$47*$B$68)*($B$57/$D$64))</f>
        <v>146.12158762865306</v>
      </c>
      <c r="H66" s="219">
        <f t="shared" si="0"/>
        <v>97.414391752435364</v>
      </c>
    </row>
    <row r="67" spans="1:8" ht="27" customHeight="1" x14ac:dyDescent="0.4">
      <c r="A67" s="76" t="s">
        <v>102</v>
      </c>
      <c r="B67" s="77">
        <v>1</v>
      </c>
      <c r="C67" s="651"/>
      <c r="D67" s="64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641" t="s">
        <v>104</v>
      </c>
      <c r="D68" s="644">
        <v>1131.9100000000001</v>
      </c>
      <c r="E68" s="134">
        <v>1</v>
      </c>
      <c r="F68" s="135">
        <v>36823235</v>
      </c>
      <c r="G68" s="200">
        <f>IF(ISBLANK(F68),"-",(F68/$D$50*$D$47*$B$68)*($B$57/$D$68))</f>
        <v>143.50886973455488</v>
      </c>
      <c r="H68" s="219">
        <f t="shared" si="0"/>
        <v>95.672579823036585</v>
      </c>
    </row>
    <row r="69" spans="1:8" ht="27" customHeight="1" x14ac:dyDescent="0.4">
      <c r="A69" s="124" t="s">
        <v>105</v>
      </c>
      <c r="B69" s="141">
        <f>(D47*B68)/B56*B57</f>
        <v>1139.0074999999999</v>
      </c>
      <c r="C69" s="642"/>
      <c r="D69" s="645"/>
      <c r="E69" s="136">
        <v>2</v>
      </c>
      <c r="F69" s="89">
        <v>36861640</v>
      </c>
      <c r="G69" s="201">
        <f>IF(ISBLANK(F69),"-",(F69/$D$50*$D$47*$B$68)*($B$57/$D$68))</f>
        <v>143.65854311719374</v>
      </c>
      <c r="H69" s="219">
        <f t="shared" si="0"/>
        <v>95.772362078129163</v>
      </c>
    </row>
    <row r="70" spans="1:8" ht="26.25" customHeight="1" x14ac:dyDescent="0.4">
      <c r="A70" s="647" t="s">
        <v>78</v>
      </c>
      <c r="B70" s="648"/>
      <c r="C70" s="642"/>
      <c r="D70" s="645"/>
      <c r="E70" s="136">
        <v>3</v>
      </c>
      <c r="F70" s="89">
        <v>36895320</v>
      </c>
      <c r="G70" s="201">
        <f>IF(ISBLANK(F70),"-",(F70/$D$50*$D$47*$B$68)*($B$57/$D$68))</f>
        <v>143.78980205554234</v>
      </c>
      <c r="H70" s="219">
        <f t="shared" si="0"/>
        <v>95.859868037028235</v>
      </c>
    </row>
    <row r="71" spans="1:8" ht="27" customHeight="1" x14ac:dyDescent="0.4">
      <c r="A71" s="649"/>
      <c r="B71" s="650"/>
      <c r="C71" s="643"/>
      <c r="D71" s="64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145.62149736313262</v>
      </c>
      <c r="H72" s="221">
        <f>AVERAGE(H60:H71)</f>
        <v>97.080998242088413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1.0420902134476714E-2</v>
      </c>
      <c r="H73" s="205">
        <f>STDEV(H60:H71)/H72</f>
        <v>1.0420902134476705E-2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628" t="str">
        <f>B26</f>
        <v>Lamivudine</v>
      </c>
      <c r="D76" s="628"/>
      <c r="E76" s="150" t="s">
        <v>108</v>
      </c>
      <c r="F76" s="150"/>
      <c r="G76" s="237">
        <f>H72</f>
        <v>97.080998242088413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62" t="str">
        <f>B26</f>
        <v>Lamivudine</v>
      </c>
      <c r="C79" s="662"/>
    </row>
    <row r="80" spans="1:8" ht="26.25" customHeight="1" x14ac:dyDescent="0.4">
      <c r="A80" s="61" t="s">
        <v>48</v>
      </c>
      <c r="B80" s="662" t="str">
        <f>B27</f>
        <v>L3-10</v>
      </c>
      <c r="C80" s="662"/>
    </row>
    <row r="81" spans="1:12" ht="27" customHeight="1" x14ac:dyDescent="0.4">
      <c r="A81" s="61" t="s">
        <v>6</v>
      </c>
      <c r="B81" s="153">
        <f>B28</f>
        <v>99.39</v>
      </c>
    </row>
    <row r="82" spans="1:12" s="3" customFormat="1" ht="27" customHeight="1" x14ac:dyDescent="0.4">
      <c r="A82" s="61" t="s">
        <v>49</v>
      </c>
      <c r="B82" s="63">
        <v>0</v>
      </c>
      <c r="C82" s="630" t="s">
        <v>50</v>
      </c>
      <c r="D82" s="631"/>
      <c r="E82" s="631"/>
      <c r="F82" s="631"/>
      <c r="G82" s="63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33" t="s">
        <v>111</v>
      </c>
      <c r="D84" s="634"/>
      <c r="E84" s="634"/>
      <c r="F84" s="634"/>
      <c r="G84" s="634"/>
      <c r="H84" s="63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33" t="s">
        <v>112</v>
      </c>
      <c r="D85" s="634"/>
      <c r="E85" s="634"/>
      <c r="F85" s="634"/>
      <c r="G85" s="634"/>
      <c r="H85" s="63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54" t="s">
        <v>59</v>
      </c>
      <c r="E89" s="155"/>
      <c r="F89" s="636" t="s">
        <v>60</v>
      </c>
      <c r="G89" s="637"/>
    </row>
    <row r="90" spans="1:12" ht="27" customHeight="1" x14ac:dyDescent="0.4">
      <c r="A90" s="76" t="s">
        <v>61</v>
      </c>
      <c r="B90" s="77">
        <v>4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58">
        <v>1</v>
      </c>
      <c r="D91" s="84">
        <v>37471617</v>
      </c>
      <c r="E91" s="85">
        <f>IF(ISBLANK(D91),"-",$D$101/$D$98*D91)</f>
        <v>42950098.815350525</v>
      </c>
      <c r="F91" s="84">
        <v>41247300</v>
      </c>
      <c r="G91" s="86">
        <f>IF(ISBLANK(F91),"-",$D$101/$F$98*F91)</f>
        <v>43148734.416559845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37551505</v>
      </c>
      <c r="E92" s="90">
        <f>IF(ISBLANK(D92),"-",$D$101/$D$98*D92)</f>
        <v>43041666.721111327</v>
      </c>
      <c r="F92" s="89">
        <v>40958430</v>
      </c>
      <c r="G92" s="91">
        <f>IF(ISBLANK(F92),"-",$D$101/$F$98*F92)</f>
        <v>42846547.972576566</v>
      </c>
      <c r="I92" s="638">
        <f>ABS((F96/D96*D95)-F95)/D95</f>
        <v>1.4979321251840593E-3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37533070</v>
      </c>
      <c r="E93" s="90">
        <f>IF(ISBLANK(D93),"-",$D$101/$D$98*D93)</f>
        <v>43020536.459461264</v>
      </c>
      <c r="F93" s="89">
        <v>41289991</v>
      </c>
      <c r="G93" s="91">
        <f>IF(ISBLANK(F93),"-",$D$101/$F$98*F93)</f>
        <v>43193393.403232366</v>
      </c>
      <c r="I93" s="63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37518730.666666664</v>
      </c>
      <c r="E95" s="100">
        <f>AVERAGE(E91:E94)</f>
        <v>43004100.665307708</v>
      </c>
      <c r="F95" s="163">
        <f>AVERAGE(F91:F94)</f>
        <v>41165240.333333336</v>
      </c>
      <c r="G95" s="164">
        <f>AVERAGE(G91:G94)</f>
        <v>43062891.93078959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14.63</v>
      </c>
      <c r="E96" s="92"/>
      <c r="F96" s="104">
        <v>16.03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14.63</v>
      </c>
      <c r="E97" s="107"/>
      <c r="F97" s="106">
        <f>F96*$B$87</f>
        <v>16.03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14.540757000000001</v>
      </c>
      <c r="E98" s="110"/>
      <c r="F98" s="109">
        <f>F97*$B$83/100</f>
        <v>15.932217000000001</v>
      </c>
    </row>
    <row r="99" spans="1:10" ht="19.5" customHeight="1" x14ac:dyDescent="0.3">
      <c r="A99" s="624" t="s">
        <v>78</v>
      </c>
      <c r="B99" s="639"/>
      <c r="C99" s="167" t="s">
        <v>116</v>
      </c>
      <c r="D99" s="171">
        <f>D98/$B$98</f>
        <v>0.14540757000000001</v>
      </c>
      <c r="E99" s="110"/>
      <c r="F99" s="113">
        <f>F98/$B$98</f>
        <v>0.15932217000000001</v>
      </c>
      <c r="G99" s="172"/>
      <c r="H99" s="102"/>
    </row>
    <row r="100" spans="1:10" ht="19.5" customHeight="1" x14ac:dyDescent="0.3">
      <c r="A100" s="626"/>
      <c r="B100" s="640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43033496.298048653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2.9574302755628547E-3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41726002</v>
      </c>
      <c r="E108" s="202">
        <f t="shared" ref="E108:E113" si="1">IF(ISBLANK(D108),"-",D108/$D$103*$D$100*$B$116)</f>
        <v>145.44252357863397</v>
      </c>
      <c r="F108" s="229">
        <f t="shared" ref="F108:F113" si="2">IF(ISBLANK(D108), "-", (E108/$B$56)*100)</f>
        <v>96.961682385755978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41772302</v>
      </c>
      <c r="E109" s="203">
        <f t="shared" si="1"/>
        <v>145.60390948955092</v>
      </c>
      <c r="F109" s="230">
        <f t="shared" si="2"/>
        <v>97.069272993033934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41613994</v>
      </c>
      <c r="E110" s="203">
        <f t="shared" si="1"/>
        <v>145.05210212917433</v>
      </c>
      <c r="F110" s="230">
        <f t="shared" si="2"/>
        <v>96.701401419449553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41957322</v>
      </c>
      <c r="E111" s="203">
        <f t="shared" si="1"/>
        <v>146.24882571499035</v>
      </c>
      <c r="F111" s="230">
        <f t="shared" si="2"/>
        <v>97.499217143326902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42037627</v>
      </c>
      <c r="E112" s="203">
        <f t="shared" si="1"/>
        <v>146.52874138618219</v>
      </c>
      <c r="F112" s="230">
        <f t="shared" si="2"/>
        <v>97.685827590788136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41723426</v>
      </c>
      <c r="E113" s="204">
        <f t="shared" si="1"/>
        <v>145.4335445266573</v>
      </c>
      <c r="F113" s="231">
        <f t="shared" si="2"/>
        <v>96.955696351104876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145.71827447086486</v>
      </c>
      <c r="F115" s="233">
        <f>AVERAGE(F108:F113)</f>
        <v>97.145516313909908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3.8237635384698937E-3</v>
      </c>
      <c r="F116" s="187">
        <f>STDEV(F108:F113)/F115</f>
        <v>3.8237635384699258E-3</v>
      </c>
      <c r="I116" s="50"/>
    </row>
    <row r="117" spans="1:10" ht="27" customHeight="1" x14ac:dyDescent="0.4">
      <c r="A117" s="624" t="s">
        <v>78</v>
      </c>
      <c r="B117" s="62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26"/>
      <c r="B118" s="627"/>
      <c r="C118" s="50"/>
      <c r="D118" s="212"/>
      <c r="E118" s="652" t="s">
        <v>123</v>
      </c>
      <c r="F118" s="65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145.05210212917433</v>
      </c>
      <c r="F119" s="234">
        <f>MIN(F108:F113)</f>
        <v>96.701401419449553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146.52874138618219</v>
      </c>
      <c r="F120" s="235">
        <f>MAX(F108:F113)</f>
        <v>97.685827590788136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628" t="str">
        <f>B26</f>
        <v>Lamivudine</v>
      </c>
      <c r="D124" s="628"/>
      <c r="E124" s="150" t="s">
        <v>127</v>
      </c>
      <c r="F124" s="150"/>
      <c r="G124" s="236">
        <f>F115</f>
        <v>97.145516313909908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96.701401419449553</v>
      </c>
      <c r="E125" s="161" t="s">
        <v>130</v>
      </c>
      <c r="F125" s="236">
        <f>MAX(F108:F113)</f>
        <v>97.685827590788136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629" t="s">
        <v>26</v>
      </c>
      <c r="C127" s="629"/>
      <c r="E127" s="156" t="s">
        <v>27</v>
      </c>
      <c r="F127" s="191"/>
      <c r="G127" s="629" t="s">
        <v>28</v>
      </c>
      <c r="H127" s="629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59" zoomScale="60" zoomScaleNormal="40" zoomScalePageLayoutView="50" workbookViewId="0">
      <selection activeCell="F124" sqref="F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238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240" t="s">
        <v>33</v>
      </c>
      <c r="B18" s="654" t="s">
        <v>5</v>
      </c>
      <c r="C18" s="654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59" t="s">
        <v>9</v>
      </c>
      <c r="C20" s="659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244"/>
    </row>
    <row r="22" spans="1:14" ht="26.25" customHeight="1" x14ac:dyDescent="0.4">
      <c r="A22" s="240" t="s">
        <v>37</v>
      </c>
      <c r="B22" s="245" t="s">
        <v>12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/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54" t="s">
        <v>134</v>
      </c>
      <c r="C26" s="654"/>
    </row>
    <row r="27" spans="1:14" ht="26.25" customHeight="1" x14ac:dyDescent="0.4">
      <c r="A27" s="249" t="s">
        <v>48</v>
      </c>
      <c r="B27" s="660" t="s">
        <v>133</v>
      </c>
      <c r="C27" s="660"/>
    </row>
    <row r="28" spans="1:14" ht="27" customHeight="1" x14ac:dyDescent="0.4">
      <c r="A28" s="249" t="s">
        <v>6</v>
      </c>
      <c r="B28" s="250">
        <v>99.7</v>
      </c>
    </row>
    <row r="29" spans="1:14" s="3" customFormat="1" ht="27" customHeight="1" x14ac:dyDescent="0.4">
      <c r="A29" s="249" t="s">
        <v>49</v>
      </c>
      <c r="B29" s="251">
        <v>0</v>
      </c>
      <c r="C29" s="630" t="s">
        <v>50</v>
      </c>
      <c r="D29" s="631"/>
      <c r="E29" s="631"/>
      <c r="F29" s="631"/>
      <c r="G29" s="632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99.7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33" t="s">
        <v>53</v>
      </c>
      <c r="D31" s="634"/>
      <c r="E31" s="634"/>
      <c r="F31" s="634"/>
      <c r="G31" s="634"/>
      <c r="H31" s="635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33" t="s">
        <v>55</v>
      </c>
      <c r="D32" s="634"/>
      <c r="E32" s="634"/>
      <c r="F32" s="634"/>
      <c r="G32" s="634"/>
      <c r="H32" s="635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636" t="s">
        <v>59</v>
      </c>
      <c r="E36" s="661"/>
      <c r="F36" s="636" t="s">
        <v>60</v>
      </c>
      <c r="G36" s="637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31946376</v>
      </c>
      <c r="E38" s="273">
        <f>IF(ISBLANK(D38),"-",$D$48/$D$45*D38)</f>
        <v>33658091.922827303</v>
      </c>
      <c r="F38" s="272">
        <v>34168944</v>
      </c>
      <c r="G38" s="274">
        <f>IF(ISBLANK(F38),"-",$D$48/$F$45*F38)</f>
        <v>33682318.700573459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32007140</v>
      </c>
      <c r="E39" s="278">
        <f>IF(ISBLANK(D39),"-",$D$48/$D$45*D39)</f>
        <v>33722111.713291131</v>
      </c>
      <c r="F39" s="277">
        <v>33925307</v>
      </c>
      <c r="G39" s="279">
        <f>IF(ISBLANK(F39),"-",$D$48/$F$45*F39)</f>
        <v>33442151.515972976</v>
      </c>
      <c r="I39" s="638">
        <f>ABS((F43/D43*D42)-F42)/D42</f>
        <v>2.5666607355213028E-3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31988576</v>
      </c>
      <c r="E40" s="278">
        <f>IF(ISBLANK(D40),"-",$D$48/$D$45*D40)</f>
        <v>33702553.037263043</v>
      </c>
      <c r="F40" s="277">
        <v>34202648</v>
      </c>
      <c r="G40" s="279">
        <f>IF(ISBLANK(F40),"-",$D$48/$F$45*F40)</f>
        <v>33715542.696886726</v>
      </c>
      <c r="I40" s="638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31980697.333333332</v>
      </c>
      <c r="E42" s="288">
        <f>AVERAGE(E38:E41)</f>
        <v>33694252.22446049</v>
      </c>
      <c r="F42" s="287">
        <f>AVERAGE(F38:F41)</f>
        <v>34098966.333333336</v>
      </c>
      <c r="G42" s="289">
        <f>AVERAGE(G38:G41)</f>
        <v>33613337.637811057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19.04</v>
      </c>
      <c r="E43" s="280"/>
      <c r="F43" s="292">
        <v>20.350000000000001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19.04</v>
      </c>
      <c r="E44" s="295"/>
      <c r="F44" s="294">
        <f>F43*$B$34</f>
        <v>20.350000000000001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18.982880000000002</v>
      </c>
      <c r="E45" s="298"/>
      <c r="F45" s="297">
        <f>F44*$B$30/100</f>
        <v>20.288950000000003</v>
      </c>
      <c r="H45" s="290"/>
    </row>
    <row r="46" spans="1:14" ht="19.5" customHeight="1" x14ac:dyDescent="0.3">
      <c r="A46" s="624" t="s">
        <v>78</v>
      </c>
      <c r="B46" s="625"/>
      <c r="C46" s="293" t="s">
        <v>79</v>
      </c>
      <c r="D46" s="299">
        <f>D45/$B$45</f>
        <v>0.18982880000000002</v>
      </c>
      <c r="E46" s="300"/>
      <c r="F46" s="301">
        <f>F45/$B$45</f>
        <v>0.20288950000000003</v>
      </c>
      <c r="H46" s="290"/>
    </row>
    <row r="47" spans="1:14" ht="27" customHeight="1" x14ac:dyDescent="0.4">
      <c r="A47" s="626"/>
      <c r="B47" s="627"/>
      <c r="C47" s="302" t="s">
        <v>80</v>
      </c>
      <c r="D47" s="303">
        <v>0.2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33653794.931135774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3.1581826549436699E-3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contains: Lamivudine USP 150 mg, Nevirapine USP 200 mg and Zidovudine USP 300 mg.</v>
      </c>
    </row>
    <row r="56" spans="1:12" ht="26.25" customHeight="1" x14ac:dyDescent="0.4">
      <c r="A56" s="317" t="s">
        <v>87</v>
      </c>
      <c r="B56" s="318">
        <v>200</v>
      </c>
      <c r="C56" s="239" t="str">
        <f>B20</f>
        <v>Lamivudine/Nevirapine/Zidovudine</v>
      </c>
      <c r="H56" s="319"/>
    </row>
    <row r="57" spans="1:12" ht="18.75" x14ac:dyDescent="0.3">
      <c r="A57" s="316" t="s">
        <v>88</v>
      </c>
      <c r="B57" s="387">
        <f>Uniformity!C46</f>
        <v>1139.0074999999999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641" t="s">
        <v>94</v>
      </c>
      <c r="D60" s="644">
        <v>1125.8499999999999</v>
      </c>
      <c r="E60" s="322">
        <v>1</v>
      </c>
      <c r="F60" s="323">
        <v>32804995</v>
      </c>
      <c r="G60" s="388">
        <f>IF(ISBLANK(F60),"-",(F60/$D$50*$D$47*$B$68)*($B$57/$D$60))</f>
        <v>197.23408930432888</v>
      </c>
      <c r="H60" s="406">
        <f t="shared" ref="H60:H71" si="0">IF(ISBLANK(F60),"-",(G60/$B$56)*100)</f>
        <v>98.617044652164438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642"/>
      <c r="D61" s="645"/>
      <c r="E61" s="324">
        <v>2</v>
      </c>
      <c r="F61" s="277">
        <v>32822239</v>
      </c>
      <c r="G61" s="389">
        <f>IF(ISBLANK(F61),"-",(F61/$D$50*$D$47*$B$68)*($B$57/$D$60))</f>
        <v>197.33776573031108</v>
      </c>
      <c r="H61" s="407">
        <f t="shared" si="0"/>
        <v>98.668882865155538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42"/>
      <c r="D62" s="645"/>
      <c r="E62" s="324">
        <v>3</v>
      </c>
      <c r="F62" s="325">
        <v>32798004</v>
      </c>
      <c r="G62" s="389">
        <f>IF(ISBLANK(F62),"-",(F62/$D$50*$D$47*$B$68)*($B$57/$D$60))</f>
        <v>197.19205718335687</v>
      </c>
      <c r="H62" s="407">
        <f t="shared" si="0"/>
        <v>98.596028591678433</v>
      </c>
      <c r="L62" s="252"/>
    </row>
    <row r="63" spans="1:12" ht="27" customHeight="1" x14ac:dyDescent="0.4">
      <c r="A63" s="264" t="s">
        <v>97</v>
      </c>
      <c r="B63" s="265">
        <v>1</v>
      </c>
      <c r="C63" s="651"/>
      <c r="D63" s="646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41" t="s">
        <v>99</v>
      </c>
      <c r="D64" s="644">
        <v>1140.76</v>
      </c>
      <c r="E64" s="322">
        <v>1</v>
      </c>
      <c r="F64" s="323">
        <v>33096892</v>
      </c>
      <c r="G64" s="388">
        <f>IF(ISBLANK(F64),"-",(F64/$D$50*$D$47*$B$68)*($B$57/$D$64))</f>
        <v>196.38823348831014</v>
      </c>
      <c r="H64" s="406">
        <f t="shared" si="0"/>
        <v>98.194116744155068</v>
      </c>
    </row>
    <row r="65" spans="1:8" ht="26.25" customHeight="1" x14ac:dyDescent="0.4">
      <c r="A65" s="264" t="s">
        <v>100</v>
      </c>
      <c r="B65" s="265">
        <v>1</v>
      </c>
      <c r="C65" s="642"/>
      <c r="D65" s="645"/>
      <c r="E65" s="324">
        <v>2</v>
      </c>
      <c r="F65" s="277">
        <v>33074594</v>
      </c>
      <c r="G65" s="389">
        <f>IF(ISBLANK(F65),"-",(F65/$D$50*$D$47*$B$68)*($B$57/$D$64))</f>
        <v>196.25592303359065</v>
      </c>
      <c r="H65" s="407">
        <f t="shared" si="0"/>
        <v>98.127961516795324</v>
      </c>
    </row>
    <row r="66" spans="1:8" ht="26.25" customHeight="1" x14ac:dyDescent="0.4">
      <c r="A66" s="264" t="s">
        <v>101</v>
      </c>
      <c r="B66" s="265">
        <v>1</v>
      </c>
      <c r="C66" s="642"/>
      <c r="D66" s="645"/>
      <c r="E66" s="324">
        <v>3</v>
      </c>
      <c r="F66" s="277">
        <v>33059024</v>
      </c>
      <c r="G66" s="389">
        <f>IF(ISBLANK(F66),"-",(F66/$D$50*$D$47*$B$68)*($B$57/$D$64))</f>
        <v>196.16353475751285</v>
      </c>
      <c r="H66" s="407">
        <f t="shared" si="0"/>
        <v>98.081767378756425</v>
      </c>
    </row>
    <row r="67" spans="1:8" ht="27" customHeight="1" x14ac:dyDescent="0.4">
      <c r="A67" s="264" t="s">
        <v>102</v>
      </c>
      <c r="B67" s="265">
        <v>1</v>
      </c>
      <c r="C67" s="651"/>
      <c r="D67" s="646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1000</v>
      </c>
      <c r="C68" s="641" t="s">
        <v>104</v>
      </c>
      <c r="D68" s="644">
        <v>1131.9100000000001</v>
      </c>
      <c r="E68" s="322">
        <v>1</v>
      </c>
      <c r="F68" s="323">
        <v>32202607</v>
      </c>
      <c r="G68" s="388">
        <f>IF(ISBLANK(F68),"-",(F68/$D$50*$D$47*$B$68)*($B$57/$D$68))</f>
        <v>192.57578221680947</v>
      </c>
      <c r="H68" s="407">
        <f t="shared" si="0"/>
        <v>96.287891108404736</v>
      </c>
    </row>
    <row r="69" spans="1:8" ht="27" customHeight="1" x14ac:dyDescent="0.4">
      <c r="A69" s="312" t="s">
        <v>105</v>
      </c>
      <c r="B69" s="329">
        <f>(D47*B68)/B56*B57</f>
        <v>1139.0074999999999</v>
      </c>
      <c r="C69" s="642"/>
      <c r="D69" s="645"/>
      <c r="E69" s="324">
        <v>2</v>
      </c>
      <c r="F69" s="277">
        <v>32240053</v>
      </c>
      <c r="G69" s="389">
        <f>IF(ISBLANK(F69),"-",(F69/$D$50*$D$47*$B$68)*($B$57/$D$68))</f>
        <v>192.79971417178723</v>
      </c>
      <c r="H69" s="407">
        <f t="shared" si="0"/>
        <v>96.399857085893615</v>
      </c>
    </row>
    <row r="70" spans="1:8" ht="26.25" customHeight="1" x14ac:dyDescent="0.4">
      <c r="A70" s="647" t="s">
        <v>78</v>
      </c>
      <c r="B70" s="648"/>
      <c r="C70" s="642"/>
      <c r="D70" s="645"/>
      <c r="E70" s="324">
        <v>3</v>
      </c>
      <c r="F70" s="277">
        <v>32287359</v>
      </c>
      <c r="G70" s="389">
        <f>IF(ISBLANK(F70),"-",(F70/$D$50*$D$47*$B$68)*($B$57/$D$68))</f>
        <v>193.08261021040761</v>
      </c>
      <c r="H70" s="407">
        <f t="shared" si="0"/>
        <v>96.541305105203804</v>
      </c>
    </row>
    <row r="71" spans="1:8" ht="27" customHeight="1" x14ac:dyDescent="0.4">
      <c r="A71" s="649"/>
      <c r="B71" s="650"/>
      <c r="C71" s="643"/>
      <c r="D71" s="646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195.44774556626831</v>
      </c>
      <c r="H72" s="409">
        <f>AVERAGE(H60:H71)</f>
        <v>97.723872783134155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1.0345805573025637E-2</v>
      </c>
      <c r="H73" s="393">
        <f>STDEV(H60:H71)/H72</f>
        <v>1.0345805573025637E-2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628" t="str">
        <f>B26</f>
        <v>Nevirapine</v>
      </c>
      <c r="D76" s="628"/>
      <c r="E76" s="338" t="s">
        <v>108</v>
      </c>
      <c r="F76" s="338"/>
      <c r="G76" s="425">
        <f>H72</f>
        <v>97.723872783134155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62" t="str">
        <f>B26</f>
        <v>Nevirapine</v>
      </c>
      <c r="C79" s="662"/>
    </row>
    <row r="80" spans="1:8" ht="26.25" customHeight="1" x14ac:dyDescent="0.4">
      <c r="A80" s="249" t="s">
        <v>48</v>
      </c>
      <c r="B80" s="662" t="str">
        <f>B27</f>
        <v>DBH027-C16A-160912</v>
      </c>
      <c r="C80" s="662"/>
    </row>
    <row r="81" spans="1:12" ht="27" customHeight="1" x14ac:dyDescent="0.4">
      <c r="A81" s="249" t="s">
        <v>6</v>
      </c>
      <c r="B81" s="341">
        <f>B28</f>
        <v>99.7</v>
      </c>
    </row>
    <row r="82" spans="1:12" s="3" customFormat="1" ht="27" customHeight="1" x14ac:dyDescent="0.4">
      <c r="A82" s="249" t="s">
        <v>49</v>
      </c>
      <c r="B82" s="251">
        <v>0</v>
      </c>
      <c r="C82" s="630" t="s">
        <v>50</v>
      </c>
      <c r="D82" s="631"/>
      <c r="E82" s="631"/>
      <c r="F82" s="631"/>
      <c r="G82" s="632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99.7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33" t="s">
        <v>111</v>
      </c>
      <c r="D84" s="634"/>
      <c r="E84" s="634"/>
      <c r="F84" s="634"/>
      <c r="G84" s="634"/>
      <c r="H84" s="635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33" t="s">
        <v>112</v>
      </c>
      <c r="D85" s="634"/>
      <c r="E85" s="634"/>
      <c r="F85" s="634"/>
      <c r="G85" s="634"/>
      <c r="H85" s="635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20</v>
      </c>
      <c r="D89" s="342" t="s">
        <v>59</v>
      </c>
      <c r="E89" s="343"/>
      <c r="F89" s="636" t="s">
        <v>60</v>
      </c>
      <c r="G89" s="637"/>
    </row>
    <row r="90" spans="1:12" ht="27" customHeight="1" x14ac:dyDescent="0.4">
      <c r="A90" s="264" t="s">
        <v>61</v>
      </c>
      <c r="B90" s="265">
        <v>4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20</v>
      </c>
      <c r="C91" s="346">
        <v>1</v>
      </c>
      <c r="D91" s="272">
        <v>31946376</v>
      </c>
      <c r="E91" s="273">
        <f>IF(ISBLANK(D91),"-",$D$101/$D$98*D91)</f>
        <v>37397879.914252557</v>
      </c>
      <c r="F91" s="272">
        <v>34168944</v>
      </c>
      <c r="G91" s="274">
        <f>IF(ISBLANK(F91),"-",$D$101/$F$98*F91)</f>
        <v>37424798.556192726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32007140</v>
      </c>
      <c r="E92" s="278">
        <f>IF(ISBLANK(D92),"-",$D$101/$D$98*D92)</f>
        <v>37469013.014767922</v>
      </c>
      <c r="F92" s="277">
        <v>33925307</v>
      </c>
      <c r="G92" s="279">
        <f>IF(ISBLANK(F92),"-",$D$101/$F$98*F92)</f>
        <v>37157946.128858857</v>
      </c>
      <c r="I92" s="638">
        <f>ABS((F96/D96*D95)-F95)/D95</f>
        <v>2.5666607355213028E-3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31988576</v>
      </c>
      <c r="E93" s="278">
        <f>IF(ISBLANK(D93),"-",$D$101/$D$98*D93)</f>
        <v>37447281.152514495</v>
      </c>
      <c r="F93" s="277">
        <v>34202648</v>
      </c>
      <c r="G93" s="279">
        <f>IF(ISBLANK(F93),"-",$D$101/$F$98*F93)</f>
        <v>37461714.107651912</v>
      </c>
      <c r="I93" s="638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31980697.333333332</v>
      </c>
      <c r="E95" s="288">
        <f>AVERAGE(E91:E94)</f>
        <v>37438058.027178325</v>
      </c>
      <c r="F95" s="351">
        <f>AVERAGE(F91:F94)</f>
        <v>34098966.333333336</v>
      </c>
      <c r="G95" s="352">
        <f>AVERAGE(G91:G94)</f>
        <v>37348152.93090117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19.04</v>
      </c>
      <c r="E96" s="280"/>
      <c r="F96" s="292">
        <v>20.350000000000001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19.04</v>
      </c>
      <c r="E97" s="295"/>
      <c r="F97" s="294">
        <f>F96*$B$87</f>
        <v>20.350000000000001</v>
      </c>
    </row>
    <row r="98" spans="1:10" ht="19.5" customHeight="1" x14ac:dyDescent="0.3">
      <c r="A98" s="264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18.982880000000002</v>
      </c>
      <c r="E98" s="298"/>
      <c r="F98" s="297">
        <f>F97*$B$83/100</f>
        <v>20.288950000000003</v>
      </c>
    </row>
    <row r="99" spans="1:10" ht="19.5" customHeight="1" x14ac:dyDescent="0.3">
      <c r="A99" s="624" t="s">
        <v>78</v>
      </c>
      <c r="B99" s="639"/>
      <c r="C99" s="355" t="s">
        <v>116</v>
      </c>
      <c r="D99" s="359">
        <f>D98/$B$98</f>
        <v>0.18982880000000002</v>
      </c>
      <c r="E99" s="298"/>
      <c r="F99" s="301">
        <f>F98/$B$98</f>
        <v>0.20288950000000003</v>
      </c>
      <c r="G99" s="360"/>
      <c r="H99" s="290"/>
    </row>
    <row r="100" spans="1:10" ht="19.5" customHeight="1" x14ac:dyDescent="0.3">
      <c r="A100" s="626"/>
      <c r="B100" s="640"/>
      <c r="C100" s="355" t="s">
        <v>80</v>
      </c>
      <c r="D100" s="361">
        <f>$B$56/$B$116</f>
        <v>0.22222222222222221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22.222222222222221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22.222222222222221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37393105.479039751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3.1581826549436976E-3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36169390</v>
      </c>
      <c r="E108" s="390">
        <f t="shared" ref="E108:E113" si="1">IF(ISBLANK(D108),"-",D108/$D$103*$D$100*$B$116)</f>
        <v>193.45486039010217</v>
      </c>
      <c r="F108" s="417">
        <f t="shared" ref="F108:F113" si="2">IF(ISBLANK(D108), "-", (E108/$B$56)*100)</f>
        <v>96.727430195051085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35820529</v>
      </c>
      <c r="E109" s="391">
        <f t="shared" si="1"/>
        <v>191.58894957295675</v>
      </c>
      <c r="F109" s="418">
        <f t="shared" si="2"/>
        <v>95.794474786478375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36113296</v>
      </c>
      <c r="E110" s="391">
        <f t="shared" si="1"/>
        <v>193.15483716773866</v>
      </c>
      <c r="F110" s="418">
        <f t="shared" si="2"/>
        <v>96.577418583869331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36256274</v>
      </c>
      <c r="E111" s="391">
        <f t="shared" si="1"/>
        <v>193.9195663774062</v>
      </c>
      <c r="F111" s="418">
        <f t="shared" si="2"/>
        <v>96.959783188703099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36079898</v>
      </c>
      <c r="E112" s="391">
        <f t="shared" si="1"/>
        <v>192.97620530728128</v>
      </c>
      <c r="F112" s="418">
        <f t="shared" si="2"/>
        <v>96.488102653640638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35454117</v>
      </c>
      <c r="E113" s="392">
        <f t="shared" si="1"/>
        <v>189.62916583578954</v>
      </c>
      <c r="F113" s="419">
        <f t="shared" si="2"/>
        <v>94.814582917894768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192.4539307752124</v>
      </c>
      <c r="F115" s="421">
        <f>AVERAGE(F108:F113)</f>
        <v>96.226965387606199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4"/>
      <c r="D116" s="398" t="s">
        <v>84</v>
      </c>
      <c r="E116" s="396">
        <f>STDEV(E108:E113)/E115</f>
        <v>8.2620369655487195E-3</v>
      </c>
      <c r="F116" s="375">
        <f>STDEV(F108:F113)/F115</f>
        <v>8.2620369655487195E-3</v>
      </c>
      <c r="I116" s="238"/>
    </row>
    <row r="117" spans="1:10" ht="27" customHeight="1" x14ac:dyDescent="0.4">
      <c r="A117" s="624" t="s">
        <v>78</v>
      </c>
      <c r="B117" s="625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26"/>
      <c r="B118" s="627"/>
      <c r="C118" s="238"/>
      <c r="D118" s="400"/>
      <c r="E118" s="652" t="s">
        <v>123</v>
      </c>
      <c r="F118" s="653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189.62916583578954</v>
      </c>
      <c r="F119" s="422">
        <f>MIN(F108:F113)</f>
        <v>94.814582917894768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193.9195663774062</v>
      </c>
      <c r="F120" s="423">
        <f>MAX(F108:F113)</f>
        <v>96.959783188703099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628" t="str">
        <f>B26</f>
        <v>Nevirapine</v>
      </c>
      <c r="D124" s="628"/>
      <c r="E124" s="338" t="s">
        <v>127</v>
      </c>
      <c r="F124" s="338"/>
      <c r="G124" s="424">
        <f>F115</f>
        <v>96.226965387606199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94.814582917894768</v>
      </c>
      <c r="E125" s="349" t="s">
        <v>130</v>
      </c>
      <c r="F125" s="424">
        <f>MAX(F108:F113)</f>
        <v>96.959783188703099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629" t="s">
        <v>26</v>
      </c>
      <c r="C127" s="629"/>
      <c r="E127" s="344" t="s">
        <v>27</v>
      </c>
      <c r="F127" s="379"/>
      <c r="G127" s="629" t="s">
        <v>28</v>
      </c>
      <c r="H127" s="629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5" zoomScale="60" zoomScaleNormal="40" zoomScalePageLayoutView="55" workbookViewId="0">
      <selection activeCell="A117" sqref="A117:B11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426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428" t="s">
        <v>33</v>
      </c>
      <c r="B18" s="654" t="s">
        <v>5</v>
      </c>
      <c r="C18" s="654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659" t="s">
        <v>135</v>
      </c>
      <c r="C20" s="659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432"/>
    </row>
    <row r="22" spans="1:14" ht="26.25" customHeight="1" x14ac:dyDescent="0.4">
      <c r="A22" s="428" t="s">
        <v>37</v>
      </c>
      <c r="B22" s="433">
        <v>42975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 t="s">
        <v>136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54" t="s">
        <v>135</v>
      </c>
      <c r="C26" s="654"/>
    </row>
    <row r="27" spans="1:14" ht="26.25" customHeight="1" x14ac:dyDescent="0.4">
      <c r="A27" s="437" t="s">
        <v>48</v>
      </c>
      <c r="B27" s="660" t="s">
        <v>137</v>
      </c>
      <c r="C27" s="660"/>
    </row>
    <row r="28" spans="1:14" ht="27" customHeight="1" x14ac:dyDescent="0.4">
      <c r="A28" s="437" t="s">
        <v>6</v>
      </c>
      <c r="B28" s="438">
        <v>99.65</v>
      </c>
    </row>
    <row r="29" spans="1:14" s="3" customFormat="1" ht="27" customHeight="1" x14ac:dyDescent="0.4">
      <c r="A29" s="437" t="s">
        <v>49</v>
      </c>
      <c r="B29" s="439">
        <v>0</v>
      </c>
      <c r="C29" s="630" t="s">
        <v>50</v>
      </c>
      <c r="D29" s="631"/>
      <c r="E29" s="631"/>
      <c r="F29" s="631"/>
      <c r="G29" s="632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99.65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33" t="s">
        <v>53</v>
      </c>
      <c r="D31" s="634"/>
      <c r="E31" s="634"/>
      <c r="F31" s="634"/>
      <c r="G31" s="634"/>
      <c r="H31" s="635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33" t="s">
        <v>55</v>
      </c>
      <c r="D32" s="634"/>
      <c r="E32" s="634"/>
      <c r="F32" s="634"/>
      <c r="G32" s="634"/>
      <c r="H32" s="635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20</v>
      </c>
      <c r="C36" s="427"/>
      <c r="D36" s="636" t="s">
        <v>59</v>
      </c>
      <c r="E36" s="661"/>
      <c r="F36" s="636" t="s">
        <v>60</v>
      </c>
      <c r="G36" s="637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4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20</v>
      </c>
      <c r="C38" s="459">
        <v>1</v>
      </c>
      <c r="D38" s="460">
        <v>66843689</v>
      </c>
      <c r="E38" s="461">
        <f>IF(ISBLANK(D38),"-",$D$48/$D$45*D38)</f>
        <v>4532328.6231540116</v>
      </c>
      <c r="F38" s="460">
        <v>68160735</v>
      </c>
      <c r="G38" s="462">
        <f>IF(ISBLANK(F38),"-",$D$48/$F$45*F38)</f>
        <v>4526812.4072905071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66995928</v>
      </c>
      <c r="E39" s="466">
        <f>IF(ISBLANK(D39),"-",$D$48/$D$45*D39)</f>
        <v>4542651.1709903572</v>
      </c>
      <c r="F39" s="465">
        <v>67668534</v>
      </c>
      <c r="G39" s="467">
        <f>IF(ISBLANK(F39),"-",$D$48/$F$45*F39)</f>
        <v>4494123.4758451404</v>
      </c>
      <c r="I39" s="638">
        <f>ABS((F43/D43*D42)-F42)/D42</f>
        <v>4.7255270450369483E-3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66943237</v>
      </c>
      <c r="E40" s="466">
        <f>IF(ISBLANK(D40),"-",$D$48/$D$45*D40)</f>
        <v>4539078.4638125319</v>
      </c>
      <c r="F40" s="465">
        <v>68210367</v>
      </c>
      <c r="G40" s="467">
        <f>IF(ISBLANK(F40),"-",$D$48/$F$45*F40)</f>
        <v>4530108.6562731303</v>
      </c>
      <c r="I40" s="638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66927618</v>
      </c>
      <c r="E42" s="476">
        <f>AVERAGE(E38:E41)</f>
        <v>4538019.4193189675</v>
      </c>
      <c r="F42" s="475">
        <f>AVERAGE(F38:F41)</f>
        <v>68013212</v>
      </c>
      <c r="G42" s="477">
        <f>AVERAGE(G38:G41)</f>
        <v>4517014.8464695923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29.6</v>
      </c>
      <c r="E43" s="468"/>
      <c r="F43" s="480">
        <v>30.22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29.6</v>
      </c>
      <c r="E44" s="483"/>
      <c r="F44" s="482">
        <f>F43*$B$34</f>
        <v>30.22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29.496400000000005</v>
      </c>
      <c r="E45" s="486"/>
      <c r="F45" s="485">
        <f>F44*$B$30/100</f>
        <v>30.114230000000003</v>
      </c>
      <c r="H45" s="478"/>
    </row>
    <row r="46" spans="1:14" ht="19.5" customHeight="1" x14ac:dyDescent="0.3">
      <c r="A46" s="624" t="s">
        <v>78</v>
      </c>
      <c r="B46" s="625"/>
      <c r="C46" s="481" t="s">
        <v>79</v>
      </c>
      <c r="D46" s="487">
        <f>D45/$B$45</f>
        <v>0.29496400000000006</v>
      </c>
      <c r="E46" s="488"/>
      <c r="F46" s="489">
        <f>F45/$B$45</f>
        <v>0.30114230000000003</v>
      </c>
      <c r="H46" s="478"/>
    </row>
    <row r="47" spans="1:14" ht="27" customHeight="1" x14ac:dyDescent="0.4">
      <c r="A47" s="626"/>
      <c r="B47" s="627"/>
      <c r="C47" s="490" t="s">
        <v>80</v>
      </c>
      <c r="D47" s="491">
        <v>0.02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2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2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4527517.1328942804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3.8360545883729053E-3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>Each film coated tablet contains: Lamivudine USP 150 mg, Nevirapine USP 200 mg and Zidovudine USP 300 mg.</v>
      </c>
    </row>
    <row r="56" spans="1:12" ht="26.25" customHeight="1" x14ac:dyDescent="0.4">
      <c r="A56" s="505" t="s">
        <v>87</v>
      </c>
      <c r="B56" s="506">
        <v>300</v>
      </c>
      <c r="C56" s="427" t="str">
        <f>B20</f>
        <v>Zidovudine</v>
      </c>
      <c r="H56" s="507"/>
    </row>
    <row r="57" spans="1:12" ht="18.75" x14ac:dyDescent="0.3">
      <c r="A57" s="504" t="s">
        <v>88</v>
      </c>
      <c r="B57" s="575">
        <f>Uniformity!C46</f>
        <v>1139.0074999999999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89</v>
      </c>
      <c r="B59" s="451">
        <v>100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10</v>
      </c>
      <c r="C60" s="641" t="s">
        <v>94</v>
      </c>
      <c r="D60" s="644">
        <v>1125.8499999999999</v>
      </c>
      <c r="E60" s="510">
        <v>1</v>
      </c>
      <c r="F60" s="511">
        <v>65422071</v>
      </c>
      <c r="G60" s="576">
        <f>IF(ISBLANK(F60),"-",(F60/$D$50*$D$47*$B$68)*($B$57/$D$60))</f>
        <v>292.37499869459822</v>
      </c>
      <c r="H60" s="594">
        <f t="shared" ref="H60:H71" si="0">IF(ISBLANK(F60),"-",(G60/$B$56)*100)</f>
        <v>97.458332898199401</v>
      </c>
      <c r="L60" s="440"/>
    </row>
    <row r="61" spans="1:12" s="3" customFormat="1" ht="26.25" customHeight="1" x14ac:dyDescent="0.4">
      <c r="A61" s="452" t="s">
        <v>95</v>
      </c>
      <c r="B61" s="453">
        <v>100</v>
      </c>
      <c r="C61" s="642"/>
      <c r="D61" s="645"/>
      <c r="E61" s="512">
        <v>2</v>
      </c>
      <c r="F61" s="465">
        <v>65462148</v>
      </c>
      <c r="G61" s="577">
        <f>IF(ISBLANK(F61),"-",(F61/$D$50*$D$47*$B$68)*($B$57/$D$60))</f>
        <v>292.55410511302205</v>
      </c>
      <c r="H61" s="595">
        <f t="shared" si="0"/>
        <v>97.518035037674011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42"/>
      <c r="D62" s="645"/>
      <c r="E62" s="512">
        <v>3</v>
      </c>
      <c r="F62" s="513">
        <v>65402988</v>
      </c>
      <c r="G62" s="577">
        <f>IF(ISBLANK(F62),"-",(F62/$D$50*$D$47*$B$68)*($B$57/$D$60))</f>
        <v>292.28971566985126</v>
      </c>
      <c r="H62" s="595">
        <f t="shared" si="0"/>
        <v>97.429905223283754</v>
      </c>
      <c r="L62" s="440"/>
    </row>
    <row r="63" spans="1:12" ht="27" customHeight="1" x14ac:dyDescent="0.4">
      <c r="A63" s="452" t="s">
        <v>97</v>
      </c>
      <c r="B63" s="453">
        <v>1</v>
      </c>
      <c r="C63" s="651"/>
      <c r="D63" s="646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41" t="s">
        <v>99</v>
      </c>
      <c r="D64" s="644">
        <v>1140.76</v>
      </c>
      <c r="E64" s="510">
        <v>1</v>
      </c>
      <c r="F64" s="511">
        <v>66290580</v>
      </c>
      <c r="G64" s="576">
        <f>IF(ISBLANK(F64),"-",(F64/$D$50*$D$47*$B$68)*($B$57/$D$64))</f>
        <v>292.38427473928408</v>
      </c>
      <c r="H64" s="594">
        <f t="shared" si="0"/>
        <v>97.461424913094703</v>
      </c>
    </row>
    <row r="65" spans="1:8" ht="26.25" customHeight="1" x14ac:dyDescent="0.4">
      <c r="A65" s="452" t="s">
        <v>100</v>
      </c>
      <c r="B65" s="453">
        <v>1</v>
      </c>
      <c r="C65" s="642"/>
      <c r="D65" s="645"/>
      <c r="E65" s="512">
        <v>2</v>
      </c>
      <c r="F65" s="465">
        <v>66247614</v>
      </c>
      <c r="G65" s="577">
        <f>IF(ISBLANK(F65),"-",(F65/$D$50*$D$47*$B$68)*($B$57/$D$64))</f>
        <v>292.19476692763953</v>
      </c>
      <c r="H65" s="595">
        <f t="shared" si="0"/>
        <v>97.398255642546516</v>
      </c>
    </row>
    <row r="66" spans="1:8" ht="26.25" customHeight="1" x14ac:dyDescent="0.4">
      <c r="A66" s="452" t="s">
        <v>101</v>
      </c>
      <c r="B66" s="453">
        <v>1</v>
      </c>
      <c r="C66" s="642"/>
      <c r="D66" s="645"/>
      <c r="E66" s="512">
        <v>3</v>
      </c>
      <c r="F66" s="465">
        <v>66209878</v>
      </c>
      <c r="G66" s="577">
        <f>IF(ISBLANK(F66),"-",(F66/$D$50*$D$47*$B$68)*($B$57/$D$64))</f>
        <v>292.02832679404048</v>
      </c>
      <c r="H66" s="595">
        <f t="shared" si="0"/>
        <v>97.342775598013503</v>
      </c>
    </row>
    <row r="67" spans="1:8" ht="27" customHeight="1" x14ac:dyDescent="0.4">
      <c r="A67" s="452" t="s">
        <v>102</v>
      </c>
      <c r="B67" s="453">
        <v>1</v>
      </c>
      <c r="C67" s="651"/>
      <c r="D67" s="646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1000</v>
      </c>
      <c r="C68" s="641" t="s">
        <v>104</v>
      </c>
      <c r="D68" s="644">
        <v>1131.9100000000001</v>
      </c>
      <c r="E68" s="510">
        <v>1</v>
      </c>
      <c r="F68" s="511">
        <v>64485329</v>
      </c>
      <c r="G68" s="576">
        <f>IF(ISBLANK(F68),"-",(F68/$D$50*$D$47*$B$68)*($B$57/$D$68))</f>
        <v>286.64574547451969</v>
      </c>
      <c r="H68" s="595">
        <f t="shared" si="0"/>
        <v>95.5485818248399</v>
      </c>
    </row>
    <row r="69" spans="1:8" ht="27" customHeight="1" x14ac:dyDescent="0.4">
      <c r="A69" s="500" t="s">
        <v>105</v>
      </c>
      <c r="B69" s="517">
        <f>(D47*B68)/B56*B57</f>
        <v>75.933833333333325</v>
      </c>
      <c r="C69" s="642"/>
      <c r="D69" s="645"/>
      <c r="E69" s="512">
        <v>2</v>
      </c>
      <c r="F69" s="465">
        <v>64576557</v>
      </c>
      <c r="G69" s="577">
        <f>IF(ISBLANK(F69),"-",(F69/$D$50*$D$47*$B$68)*($B$57/$D$68))</f>
        <v>287.05126590023002</v>
      </c>
      <c r="H69" s="595">
        <f t="shared" si="0"/>
        <v>95.683755300076683</v>
      </c>
    </row>
    <row r="70" spans="1:8" ht="26.25" customHeight="1" x14ac:dyDescent="0.4">
      <c r="A70" s="647" t="s">
        <v>78</v>
      </c>
      <c r="B70" s="648"/>
      <c r="C70" s="642"/>
      <c r="D70" s="645"/>
      <c r="E70" s="512">
        <v>3</v>
      </c>
      <c r="F70" s="465">
        <v>64645615</v>
      </c>
      <c r="G70" s="577">
        <f>IF(ISBLANK(F70),"-",(F70/$D$50*$D$47*$B$68)*($B$57/$D$68))</f>
        <v>287.3582377680633</v>
      </c>
      <c r="H70" s="595">
        <f t="shared" si="0"/>
        <v>95.786079256021111</v>
      </c>
    </row>
    <row r="71" spans="1:8" ht="27" customHeight="1" x14ac:dyDescent="0.4">
      <c r="A71" s="649"/>
      <c r="B71" s="650"/>
      <c r="C71" s="643"/>
      <c r="D71" s="646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290.54238189791647</v>
      </c>
      <c r="H72" s="597">
        <f>AVERAGE(H60:H71)</f>
        <v>96.847460632638843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9.1306170295746593E-3</v>
      </c>
      <c r="H73" s="581">
        <f>STDEV(H60:H71)/H72</f>
        <v>9.1306170295746281E-3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106</v>
      </c>
      <c r="B76" s="525" t="s">
        <v>107</v>
      </c>
      <c r="C76" s="628" t="str">
        <f>B26</f>
        <v>Zidovudine</v>
      </c>
      <c r="D76" s="628"/>
      <c r="E76" s="526" t="s">
        <v>108</v>
      </c>
      <c r="F76" s="526"/>
      <c r="G76" s="613">
        <f>H72</f>
        <v>96.847460632638843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62" t="str">
        <f>B26</f>
        <v>Zidovudine</v>
      </c>
      <c r="C79" s="662"/>
    </row>
    <row r="80" spans="1:8" ht="26.25" customHeight="1" x14ac:dyDescent="0.4">
      <c r="A80" s="437" t="s">
        <v>48</v>
      </c>
      <c r="B80" s="662" t="str">
        <f>B27</f>
        <v>Z1-3</v>
      </c>
      <c r="C80" s="662"/>
    </row>
    <row r="81" spans="1:12" ht="27" customHeight="1" x14ac:dyDescent="0.4">
      <c r="A81" s="437" t="s">
        <v>6</v>
      </c>
      <c r="B81" s="529">
        <f>B28</f>
        <v>99.65</v>
      </c>
    </row>
    <row r="82" spans="1:12" s="3" customFormat="1" ht="27" customHeight="1" x14ac:dyDescent="0.4">
      <c r="A82" s="437" t="s">
        <v>49</v>
      </c>
      <c r="B82" s="439">
        <v>0</v>
      </c>
      <c r="C82" s="630" t="s">
        <v>50</v>
      </c>
      <c r="D82" s="631"/>
      <c r="E82" s="631"/>
      <c r="F82" s="631"/>
      <c r="G82" s="632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99.65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33" t="s">
        <v>111</v>
      </c>
      <c r="D84" s="634"/>
      <c r="E84" s="634"/>
      <c r="F84" s="634"/>
      <c r="G84" s="634"/>
      <c r="H84" s="635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33" t="s">
        <v>112</v>
      </c>
      <c r="D85" s="634"/>
      <c r="E85" s="634"/>
      <c r="F85" s="634"/>
      <c r="G85" s="634"/>
      <c r="H85" s="635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20</v>
      </c>
      <c r="D89" s="530" t="s">
        <v>59</v>
      </c>
      <c r="E89" s="531"/>
      <c r="F89" s="636" t="s">
        <v>60</v>
      </c>
      <c r="G89" s="637"/>
    </row>
    <row r="90" spans="1:12" ht="27" customHeight="1" x14ac:dyDescent="0.4">
      <c r="A90" s="452" t="s">
        <v>61</v>
      </c>
      <c r="B90" s="453">
        <v>4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20</v>
      </c>
      <c r="C91" s="534">
        <v>1</v>
      </c>
      <c r="D91" s="460">
        <v>66843689</v>
      </c>
      <c r="E91" s="461">
        <f>IF(ISBLANK(D91),"-",$D$101/$D$98*D91)</f>
        <v>75538810.38590017</v>
      </c>
      <c r="F91" s="460">
        <v>68160735</v>
      </c>
      <c r="G91" s="462">
        <f>IF(ISBLANK(F91),"-",$D$101/$F$98*F91)</f>
        <v>75446873.454841763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>
        <v>66995928</v>
      </c>
      <c r="E92" s="466">
        <f>IF(ISBLANK(D92),"-",$D$101/$D$98*D92)</f>
        <v>75710852.84983927</v>
      </c>
      <c r="F92" s="465">
        <v>67668534</v>
      </c>
      <c r="G92" s="467">
        <f>IF(ISBLANK(F92),"-",$D$101/$F$98*F92)</f>
        <v>74902057.930752322</v>
      </c>
      <c r="I92" s="638">
        <f>ABS((F96/D96*D95)-F95)/D95</f>
        <v>4.7255270450369483E-3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>
        <v>66943237</v>
      </c>
      <c r="E93" s="466">
        <f>IF(ISBLANK(D93),"-",$D$101/$D$98*D93)</f>
        <v>75651307.730208859</v>
      </c>
      <c r="F93" s="465">
        <v>68210367</v>
      </c>
      <c r="G93" s="467">
        <f>IF(ISBLANK(F93),"-",$D$101/$F$98*F93)</f>
        <v>75501810.937885493</v>
      </c>
      <c r="I93" s="638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>
        <f>AVERAGE(D91:D94)</f>
        <v>66927618</v>
      </c>
      <c r="E95" s="476">
        <f>AVERAGE(E91:E94)</f>
        <v>75633656.988649428</v>
      </c>
      <c r="F95" s="539">
        <f>AVERAGE(F91:F94)</f>
        <v>68013212</v>
      </c>
      <c r="G95" s="540">
        <f>AVERAGE(G91:G94)</f>
        <v>75283580.774493188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>
        <v>29.6</v>
      </c>
      <c r="E96" s="468"/>
      <c r="F96" s="480">
        <v>30.22</v>
      </c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29.6</v>
      </c>
      <c r="E97" s="483"/>
      <c r="F97" s="482">
        <f>F96*$B$87</f>
        <v>30.22</v>
      </c>
    </row>
    <row r="98" spans="1:10" ht="19.5" customHeight="1" x14ac:dyDescent="0.3">
      <c r="A98" s="452" t="s">
        <v>76</v>
      </c>
      <c r="B98" s="545">
        <f>(B97/B96)*(B95/B94)*(B93/B92)*(B91/B90)*B89</f>
        <v>100</v>
      </c>
      <c r="C98" s="543" t="s">
        <v>115</v>
      </c>
      <c r="D98" s="546">
        <f>D97*$B$83/100</f>
        <v>29.496400000000005</v>
      </c>
      <c r="E98" s="486"/>
      <c r="F98" s="485">
        <f>F97*$B$83/100</f>
        <v>30.114230000000003</v>
      </c>
    </row>
    <row r="99" spans="1:10" ht="19.5" customHeight="1" x14ac:dyDescent="0.3">
      <c r="A99" s="624" t="s">
        <v>78</v>
      </c>
      <c r="B99" s="639"/>
      <c r="C99" s="543" t="s">
        <v>116</v>
      </c>
      <c r="D99" s="547">
        <f>D98/$B$98</f>
        <v>0.29496400000000006</v>
      </c>
      <c r="E99" s="486"/>
      <c r="F99" s="489">
        <f>F98/$B$98</f>
        <v>0.30114230000000003</v>
      </c>
      <c r="G99" s="548"/>
      <c r="H99" s="478"/>
    </row>
    <row r="100" spans="1:10" ht="19.5" customHeight="1" x14ac:dyDescent="0.3">
      <c r="A100" s="626"/>
      <c r="B100" s="640"/>
      <c r="C100" s="543" t="s">
        <v>80</v>
      </c>
      <c r="D100" s="549">
        <f>$B$56/$B$116</f>
        <v>0.33333333333333331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33.333333333333329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33.333333333333329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>
        <f>AVERAGE(E91:E94,G91:G94)</f>
        <v>75458618.881571308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>
        <f>STDEV(E91:E94,G91:G94)/D103</f>
        <v>3.8360545883729313E-3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900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>
        <v>73023521</v>
      </c>
      <c r="E108" s="578">
        <f t="shared" ref="E108:E113" si="1">IF(ISBLANK(D108),"-",D108/$D$103*$D$100*$B$116)</f>
        <v>290.31880817196082</v>
      </c>
      <c r="F108" s="605">
        <f t="shared" ref="F108:F113" si="2">IF(ISBLANK(D108), "-", (E108/$B$56)*100)</f>
        <v>96.77293605732028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>
        <v>73109571</v>
      </c>
      <c r="E109" s="579">
        <f t="shared" si="1"/>
        <v>290.6609162092218</v>
      </c>
      <c r="F109" s="606">
        <f t="shared" si="2"/>
        <v>96.886972069740594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>
        <v>72860844</v>
      </c>
      <c r="E110" s="579">
        <f t="shared" si="1"/>
        <v>289.67205501475559</v>
      </c>
      <c r="F110" s="606">
        <f t="shared" si="2"/>
        <v>96.557351671585195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>
        <v>73518030</v>
      </c>
      <c r="E111" s="579">
        <f t="shared" si="1"/>
        <v>292.28482215682885</v>
      </c>
      <c r="F111" s="606">
        <f t="shared" si="2"/>
        <v>97.428274052276294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>
        <v>73604610</v>
      </c>
      <c r="E112" s="579">
        <f t="shared" si="1"/>
        <v>292.62903730925257</v>
      </c>
      <c r="F112" s="606">
        <f t="shared" si="2"/>
        <v>97.543012436417513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>
        <v>73030513</v>
      </c>
      <c r="E113" s="580">
        <f t="shared" si="1"/>
        <v>290.34660618935214</v>
      </c>
      <c r="F113" s="607">
        <f t="shared" si="2"/>
        <v>96.782202063117381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>
        <f>AVERAGE(E108:E113)</f>
        <v>290.98537417522863</v>
      </c>
      <c r="F115" s="609">
        <f>AVERAGE(F108:F113)</f>
        <v>96.995124725076195</v>
      </c>
    </row>
    <row r="116" spans="1:10" ht="27" customHeight="1" x14ac:dyDescent="0.4">
      <c r="A116" s="452" t="s">
        <v>103</v>
      </c>
      <c r="B116" s="484">
        <f>(B115/B114)*(B113/B112)*(B111/B110)*(B109/B108)*B107</f>
        <v>900</v>
      </c>
      <c r="C116" s="562"/>
      <c r="D116" s="586" t="s">
        <v>84</v>
      </c>
      <c r="E116" s="584">
        <f>STDEV(E108:E113)/E115</f>
        <v>4.0872730079781049E-3</v>
      </c>
      <c r="F116" s="563">
        <f>STDEV(F108:F113)/F115</f>
        <v>4.0872730079780963E-3</v>
      </c>
      <c r="I116" s="426"/>
    </row>
    <row r="117" spans="1:10" ht="27" customHeight="1" x14ac:dyDescent="0.4">
      <c r="A117" s="624" t="s">
        <v>78</v>
      </c>
      <c r="B117" s="625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26"/>
      <c r="B118" s="627"/>
      <c r="C118" s="426"/>
      <c r="D118" s="588"/>
      <c r="E118" s="652" t="s">
        <v>123</v>
      </c>
      <c r="F118" s="653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289.67205501475559</v>
      </c>
      <c r="F119" s="610">
        <f>MIN(F108:F113)</f>
        <v>96.557351671585195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292.62903730925257</v>
      </c>
      <c r="F120" s="611">
        <f>MAX(F108:F113)</f>
        <v>97.543012436417513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628" t="str">
        <f>B26</f>
        <v>Zidovudine</v>
      </c>
      <c r="D124" s="628"/>
      <c r="E124" s="526" t="s">
        <v>127</v>
      </c>
      <c r="F124" s="526"/>
      <c r="G124" s="612">
        <f>F115</f>
        <v>96.995124725076195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96.557351671585195</v>
      </c>
      <c r="E125" s="537" t="s">
        <v>130</v>
      </c>
      <c r="F125" s="612">
        <f>MAX(F108:F113)</f>
        <v>97.543012436417513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629" t="s">
        <v>26</v>
      </c>
      <c r="C127" s="629"/>
      <c r="E127" s="532" t="s">
        <v>27</v>
      </c>
      <c r="F127" s="567"/>
      <c r="G127" s="629" t="s">
        <v>28</v>
      </c>
      <c r="H127" s="629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SST Lamivudine</vt:lpstr>
      <vt:lpstr>SST Zidovudine</vt:lpstr>
      <vt:lpstr>SST Nevirapine</vt:lpstr>
      <vt:lpstr>Uniformity</vt:lpstr>
      <vt:lpstr>Lamivudine</vt:lpstr>
      <vt:lpstr>Nevirapine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dcterms:created xsi:type="dcterms:W3CDTF">2005-07-05T10:19:27Z</dcterms:created>
  <dcterms:modified xsi:type="dcterms:W3CDTF">2017-09-04T07:51:39Z</dcterms:modified>
</cp:coreProperties>
</file>