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5"/>
  </bookViews>
  <sheets>
    <sheet name="SST Zidovudine" sheetId="6" r:id="rId1"/>
    <sheet name="SST Nevirapine" sheetId="7" r:id="rId2"/>
    <sheet name="SST Lamivudine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Lamivudine!$A$1:$I$130</definedName>
    <definedName name="_xlnm.Print_Area" localSheetId="5">Nevirapine!$A$1:$I$129</definedName>
    <definedName name="_xlnm.Print_Area" localSheetId="2">'SST Lamivudine'!$A$15:$H$61</definedName>
    <definedName name="_xlnm.Print_Area" localSheetId="1">'SST Nevirapine'!$A$15:$H$61</definedName>
    <definedName name="_xlnm.Print_Area" localSheetId="0">'SST Zidovudine'!$A$15:$H$61</definedName>
    <definedName name="_xlnm.Print_Area" localSheetId="3">Uniformity!$A$12:$K$54</definedName>
    <definedName name="_xlnm.Print_Area" localSheetId="6">Zidovudine!$A$1:$I$129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F51" i="7"/>
  <c r="D51" i="7"/>
  <c r="C51" i="7"/>
  <c r="B51" i="7"/>
  <c r="B52" i="7" s="1"/>
  <c r="B32" i="7"/>
  <c r="F30" i="7"/>
  <c r="D30" i="7"/>
  <c r="C30" i="7"/>
  <c r="B30" i="7"/>
  <c r="B31" i="7" s="1"/>
  <c r="B21" i="7"/>
  <c r="B53" i="6"/>
  <c r="F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C124" i="5" l="1"/>
  <c r="B116" i="5"/>
  <c r="D100" i="5" s="1"/>
  <c r="B98" i="5"/>
  <c r="D97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D49" i="4" s="1"/>
  <c r="F42" i="4"/>
  <c r="D42" i="4"/>
  <c r="I39" i="4" s="1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C45" i="2"/>
  <c r="D43" i="2"/>
  <c r="D41" i="2"/>
  <c r="D40" i="2"/>
  <c r="D39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39" i="3" l="1"/>
  <c r="F98" i="5"/>
  <c r="D101" i="3"/>
  <c r="I92" i="3"/>
  <c r="F98" i="3"/>
  <c r="G91" i="3" s="1"/>
  <c r="D97" i="3"/>
  <c r="D98" i="3" s="1"/>
  <c r="E91" i="3" s="1"/>
  <c r="D45" i="3"/>
  <c r="E38" i="3" s="1"/>
  <c r="D101" i="4"/>
  <c r="D102" i="4" s="1"/>
  <c r="D44" i="4"/>
  <c r="D101" i="5"/>
  <c r="I92" i="5"/>
  <c r="I39" i="5"/>
  <c r="D45" i="5"/>
  <c r="D46" i="5" s="1"/>
  <c r="F44" i="5"/>
  <c r="F45" i="5" s="1"/>
  <c r="E38" i="5"/>
  <c r="F99" i="5"/>
  <c r="G91" i="5"/>
  <c r="D46" i="3"/>
  <c r="F99" i="3"/>
  <c r="B57" i="5"/>
  <c r="B69" i="5" s="1"/>
  <c r="B57" i="3"/>
  <c r="B57" i="4"/>
  <c r="D50" i="2"/>
  <c r="B49" i="2"/>
  <c r="D42" i="2"/>
  <c r="D38" i="2"/>
  <c r="F45" i="4"/>
  <c r="B69" i="4"/>
  <c r="I92" i="4"/>
  <c r="F44" i="3"/>
  <c r="F45" i="3" s="1"/>
  <c r="F46" i="3" s="1"/>
  <c r="D49" i="3"/>
  <c r="E40" i="3"/>
  <c r="F97" i="4"/>
  <c r="F98" i="4" s="1"/>
  <c r="G91" i="4" s="1"/>
  <c r="D97" i="4"/>
  <c r="D98" i="4" s="1"/>
  <c r="D99" i="4" s="1"/>
  <c r="B69" i="3"/>
  <c r="E93" i="4"/>
  <c r="E41" i="5"/>
  <c r="E39" i="5"/>
  <c r="D49" i="5"/>
  <c r="E40" i="5"/>
  <c r="C50" i="2"/>
  <c r="E39" i="3"/>
  <c r="E41" i="3"/>
  <c r="G94" i="3"/>
  <c r="D102" i="3"/>
  <c r="D45" i="4"/>
  <c r="E41" i="4"/>
  <c r="D98" i="5"/>
  <c r="E94" i="5" s="1"/>
  <c r="G94" i="5"/>
  <c r="G92" i="5"/>
  <c r="D102" i="5"/>
  <c r="G93" i="5"/>
  <c r="G39" i="4"/>
  <c r="G93" i="3" l="1"/>
  <c r="G95" i="3" s="1"/>
  <c r="G92" i="3"/>
  <c r="G40" i="3"/>
  <c r="G41" i="3"/>
  <c r="E94" i="4"/>
  <c r="F46" i="5"/>
  <c r="G40" i="5"/>
  <c r="G38" i="5"/>
  <c r="G41" i="5"/>
  <c r="G39" i="5"/>
  <c r="E42" i="5"/>
  <c r="G95" i="5"/>
  <c r="E92" i="5"/>
  <c r="E40" i="4"/>
  <c r="E38" i="4"/>
  <c r="D46" i="4"/>
  <c r="E39" i="4"/>
  <c r="D99" i="3"/>
  <c r="E93" i="3"/>
  <c r="E91" i="4"/>
  <c r="E92" i="4"/>
  <c r="F99" i="4"/>
  <c r="G92" i="4"/>
  <c r="G39" i="3"/>
  <c r="D99" i="5"/>
  <c r="E93" i="5"/>
  <c r="G38" i="4"/>
  <c r="G41" i="4"/>
  <c r="F46" i="4"/>
  <c r="G40" i="4"/>
  <c r="E42" i="3"/>
  <c r="E91" i="5"/>
  <c r="E92" i="3"/>
  <c r="E94" i="3"/>
  <c r="G94" i="4"/>
  <c r="G93" i="4"/>
  <c r="G38" i="3"/>
  <c r="D105" i="3" l="1"/>
  <c r="G42" i="3"/>
  <c r="D52" i="3"/>
  <c r="E95" i="3"/>
  <c r="D103" i="3"/>
  <c r="E113" i="3" s="1"/>
  <c r="F113" i="3" s="1"/>
  <c r="D50" i="3"/>
  <c r="G70" i="3" s="1"/>
  <c r="H70" i="3" s="1"/>
  <c r="G95" i="4"/>
  <c r="G42" i="4"/>
  <c r="G42" i="5"/>
  <c r="D50" i="5"/>
  <c r="G67" i="5" s="1"/>
  <c r="H67" i="5" s="1"/>
  <c r="D52" i="5"/>
  <c r="G60" i="5"/>
  <c r="G62" i="3"/>
  <c r="H62" i="3" s="1"/>
  <c r="E95" i="4"/>
  <c r="D105" i="4"/>
  <c r="D103" i="4"/>
  <c r="D103" i="5"/>
  <c r="E95" i="5"/>
  <c r="D105" i="5"/>
  <c r="D52" i="4"/>
  <c r="D50" i="4"/>
  <c r="E42" i="4"/>
  <c r="D51" i="3" l="1"/>
  <c r="E108" i="3"/>
  <c r="F108" i="3" s="1"/>
  <c r="D104" i="3"/>
  <c r="E109" i="3"/>
  <c r="F109" i="3" s="1"/>
  <c r="E110" i="3"/>
  <c r="F110" i="3" s="1"/>
  <c r="E111" i="3"/>
  <c r="F111" i="3" s="1"/>
  <c r="E112" i="3"/>
  <c r="F112" i="3" s="1"/>
  <c r="G69" i="3"/>
  <c r="H69" i="3" s="1"/>
  <c r="G64" i="3"/>
  <c r="H64" i="3" s="1"/>
  <c r="G63" i="3"/>
  <c r="H63" i="3" s="1"/>
  <c r="G71" i="3"/>
  <c r="H71" i="3" s="1"/>
  <c r="G65" i="3"/>
  <c r="H65" i="3" s="1"/>
  <c r="G66" i="3"/>
  <c r="H66" i="3" s="1"/>
  <c r="G68" i="3"/>
  <c r="H68" i="3" s="1"/>
  <c r="G67" i="3"/>
  <c r="H67" i="3" s="1"/>
  <c r="G60" i="3"/>
  <c r="G61" i="3"/>
  <c r="H61" i="3" s="1"/>
  <c r="G70" i="5"/>
  <c r="H70" i="5" s="1"/>
  <c r="G61" i="5"/>
  <c r="H61" i="5" s="1"/>
  <c r="G65" i="5"/>
  <c r="H65" i="5" s="1"/>
  <c r="G64" i="5"/>
  <c r="H64" i="5" s="1"/>
  <c r="G66" i="5"/>
  <c r="H66" i="5" s="1"/>
  <c r="G62" i="5"/>
  <c r="H62" i="5" s="1"/>
  <c r="G71" i="5"/>
  <c r="H71" i="5" s="1"/>
  <c r="G68" i="5"/>
  <c r="H68" i="5" s="1"/>
  <c r="D51" i="5"/>
  <c r="G63" i="5"/>
  <c r="H63" i="5" s="1"/>
  <c r="G69" i="5"/>
  <c r="H69" i="5" s="1"/>
  <c r="H60" i="5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67" i="4"/>
  <c r="H67" i="4" s="1"/>
  <c r="G70" i="4"/>
  <c r="H70" i="4" s="1"/>
  <c r="G65" i="4"/>
  <c r="H65" i="4" s="1"/>
  <c r="G63" i="4"/>
  <c r="H63" i="4" s="1"/>
  <c r="G61" i="4"/>
  <c r="H61" i="4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7" i="3" l="1"/>
  <c r="E115" i="3"/>
  <c r="E116" i="3" s="1"/>
  <c r="E119" i="3"/>
  <c r="E120" i="3"/>
  <c r="G74" i="3"/>
  <c r="G72" i="3"/>
  <c r="G73" i="3" s="1"/>
  <c r="H60" i="3"/>
  <c r="H72" i="3" s="1"/>
  <c r="H72" i="5"/>
  <c r="H73" i="5" s="1"/>
  <c r="G74" i="5"/>
  <c r="H74" i="5"/>
  <c r="G72" i="5"/>
  <c r="G73" i="5" s="1"/>
  <c r="F125" i="3"/>
  <c r="F120" i="3"/>
  <c r="F117" i="3"/>
  <c r="D125" i="3"/>
  <c r="F115" i="3"/>
  <c r="F119" i="3"/>
  <c r="H60" i="4"/>
  <c r="G72" i="4"/>
  <c r="G73" i="4" s="1"/>
  <c r="G74" i="4"/>
  <c r="E115" i="4"/>
  <c r="E116" i="4" s="1"/>
  <c r="E119" i="4"/>
  <c r="E117" i="4"/>
  <c r="F108" i="4"/>
  <c r="E120" i="4"/>
  <c r="E120" i="5"/>
  <c r="E117" i="5"/>
  <c r="F108" i="5"/>
  <c r="E115" i="5"/>
  <c r="E116" i="5" s="1"/>
  <c r="E119" i="5"/>
  <c r="G76" i="5" l="1"/>
  <c r="H74" i="3"/>
  <c r="G76" i="3"/>
  <c r="H73" i="3"/>
  <c r="F125" i="5"/>
  <c r="F120" i="5"/>
  <c r="F117" i="5"/>
  <c r="D125" i="5"/>
  <c r="F115" i="5"/>
  <c r="F119" i="5"/>
  <c r="H74" i="4"/>
  <c r="H72" i="4"/>
  <c r="F119" i="4"/>
  <c r="F125" i="4"/>
  <c r="F120" i="4"/>
  <c r="F117" i="4"/>
  <c r="D125" i="4"/>
  <c r="F115" i="4"/>
  <c r="G124" i="3"/>
  <c r="F116" i="3"/>
  <c r="G124" i="4" l="1"/>
  <c r="F116" i="4"/>
  <c r="G124" i="5"/>
  <c r="F116" i="5"/>
  <c r="G76" i="4"/>
  <c r="H73" i="4"/>
</calcChain>
</file>

<file path=xl/sharedStrings.xml><?xml version="1.0" encoding="utf-8"?>
<sst xmlns="http://schemas.openxmlformats.org/spreadsheetml/2006/main" count="675" uniqueCount="143">
  <si>
    <t>HPLC System Suitability Report</t>
  </si>
  <si>
    <t>Analysis Data</t>
  </si>
  <si>
    <t>Assay</t>
  </si>
  <si>
    <t>Sample(s)</t>
  </si>
  <si>
    <t>Reference Substance:</t>
  </si>
  <si>
    <t>LAMIVUDINE/ NEVIRAPINE/ZIDOVUDINE TABLETS
150 MG/ 200 MG/300 MG</t>
  </si>
  <si>
    <t>% age Purity:</t>
  </si>
  <si>
    <t>NDQB201707064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</si>
  <si>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</si>
  <si>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</si>
  <si>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</si>
  <si>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</si>
  <si>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2017-07-20 11:29:43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</si>
  <si>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</si>
  <si>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</si>
  <si>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</si>
  <si>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</si>
  <si>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</si>
  <si>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</si>
  <si>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</si>
  <si>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</si>
  <si>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</si>
  <si>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</si>
  <si>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</si>
  <si>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</si>
  <si>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</si>
  <si>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</si>
  <si>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</si>
  <si>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</si>
  <si>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</si>
  <si>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</si>
  <si>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</si>
  <si>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</si>
  <si>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</si>
  <si>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</si>
  <si>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</si>
  <si>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</si>
  <si>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</si>
  <si>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</si>
  <si>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</si>
  <si>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</si>
  <si>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</si>
  <si>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</si>
  <si>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</si>
  <si>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</si>
  <si>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</si>
  <si>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</si>
  <si>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</si>
  <si>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</si>
  <si>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</si>
  <si>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</si>
  <si>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</si>
  <si>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</si>
  <si>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</si>
  <si>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</si>
  <si>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</si>
  <si>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</si>
  <si>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</si>
  <si>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</si>
  <si>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</si>
  <si>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</si>
  <si>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</si>
  <si>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</si>
  <si>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</si>
  <si>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</si>
  <si>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</si>
  <si>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</si>
  <si>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</si>
  <si>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</si>
  <si>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</si>
  <si>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</si>
  <si>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</si>
  <si>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</si>
  <si>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</si>
  <si>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</si>
  <si>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</si>
  <si>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</si>
  <si>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</si>
  <si>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</si>
  <si>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</si>
  <si>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</si>
  <si>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</si>
  <si>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</si>
  <si>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</si>
  <si>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</si>
  <si>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</si>
  <si>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</si>
  <si>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</si>
  <si>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</si>
  <si>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</si>
  <si>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</si>
  <si>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</si>
  <si>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</si>
  <si>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</si>
  <si>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</si>
  <si>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</si>
  <si>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</si>
  <si>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</si>
  <si>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</si>
  <si>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</si>
  <si>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</si>
  <si>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</si>
  <si>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</si>
  <si>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</si>
  <si>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</si>
  <si>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</si>
  <si>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</si>
  <si>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</si>
  <si>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</si>
  <si>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</si>
  <si>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</si>
  <si>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</si>
  <si>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</si>
  <si>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</si>
  <si>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</si>
  <si>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</si>
  <si>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</si>
  <si>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</si>
  <si>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</si>
  <si>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</si>
  <si>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</si>
  <si>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</si>
  <si>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</si>
  <si>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</si>
  <si>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</si>
  <si>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</si>
  <si>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</si>
  <si>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</si>
  <si>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</si>
  <si>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</si>
  <si>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</si>
  <si>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</si>
  <si>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Z1-3</t>
  </si>
  <si>
    <t>Nevirapine</t>
  </si>
  <si>
    <t>Lamivudine</t>
  </si>
  <si>
    <t>L3-10</t>
  </si>
  <si>
    <t>DBH027-C16A-160912</t>
  </si>
  <si>
    <t>LAMIVUDINE, ZIDOVUDINE AND NEVIRAPINE DISPERSIBLE TABLETS</t>
  </si>
  <si>
    <t>Resolution(USP)</t>
  </si>
  <si>
    <t>The Resolution between the peak pair of Lamivudine and Zidovudine is NLT 3.0 and between peak pair of Zidovudine and Nevirapine is NLT 5.0</t>
  </si>
  <si>
    <t>The Resolution between the peak pair of Lamivudine and Zidovudine is NLT 8.0 and between peak pair of Zidovudine and Nevirapine is NLT 12.0</t>
  </si>
  <si>
    <t>RUTTO KENNEDY</t>
  </si>
  <si>
    <t>1ST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</si>
</sst>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1" workbookViewId="0">
      <selection activeCell="A31" sqref="A31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5" width="25.85546875" style="664" customWidth="1"/>
    <col min="6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1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6"/>
    </row>
    <row r="16" spans="1:7" ht="16.5" customHeight="1" x14ac:dyDescent="0.3">
      <c r="A16" s="667" t="s">
        <v>1</v>
      </c>
      <c r="B16" s="668" t="s">
        <v>2</v>
      </c>
    </row>
    <row r="17" spans="1:6" ht="16.5" customHeight="1" x14ac:dyDescent="0.3">
      <c r="A17" s="669" t="s">
        <v>3</v>
      </c>
      <c r="B17" s="669" t="s">
        <v>137</v>
      </c>
      <c r="D17" s="670"/>
      <c r="E17" s="670"/>
      <c r="F17" s="671"/>
    </row>
    <row r="18" spans="1:6" ht="16.5" customHeight="1" x14ac:dyDescent="0.3">
      <c r="A18" s="672" t="s">
        <v>4</v>
      </c>
      <c r="B18" s="673" t="s">
        <v>131</v>
      </c>
      <c r="C18" s="671"/>
      <c r="D18" s="671"/>
      <c r="E18" s="671"/>
      <c r="F18" s="671"/>
    </row>
    <row r="19" spans="1:6" ht="16.5" customHeight="1" x14ac:dyDescent="0.3">
      <c r="A19" s="672" t="s">
        <v>6</v>
      </c>
      <c r="B19" s="673">
        <v>99.65</v>
      </c>
      <c r="C19" s="671"/>
      <c r="D19" s="671"/>
      <c r="E19" s="671"/>
      <c r="F19" s="671"/>
    </row>
    <row r="20" spans="1:6" ht="16.5" customHeight="1" x14ac:dyDescent="0.3">
      <c r="A20" s="669" t="s">
        <v>8</v>
      </c>
      <c r="B20" s="673">
        <v>29.6</v>
      </c>
      <c r="C20" s="671"/>
      <c r="D20" s="671"/>
      <c r="E20" s="671"/>
      <c r="F20" s="671"/>
    </row>
    <row r="21" spans="1:6" ht="16.5" customHeight="1" x14ac:dyDescent="0.3">
      <c r="A21" s="669" t="s">
        <v>10</v>
      </c>
      <c r="B21" s="674">
        <f>29.6/20*4/20</f>
        <v>0.29599999999999999</v>
      </c>
      <c r="C21" s="671"/>
      <c r="D21" s="671"/>
      <c r="E21" s="671"/>
      <c r="F21" s="671"/>
    </row>
    <row r="22" spans="1:6" ht="15.75" customHeight="1" x14ac:dyDescent="0.25">
      <c r="A22" s="671"/>
      <c r="B22" s="671"/>
      <c r="C22" s="671"/>
      <c r="D22" s="671"/>
      <c r="E22" s="671"/>
      <c r="F22" s="671"/>
    </row>
    <row r="23" spans="1:6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138</v>
      </c>
      <c r="F23" s="675" t="s">
        <v>17</v>
      </c>
    </row>
    <row r="24" spans="1:6" ht="16.5" customHeight="1" x14ac:dyDescent="0.3">
      <c r="A24" s="677">
        <v>1</v>
      </c>
      <c r="B24" s="678">
        <v>67003804</v>
      </c>
      <c r="C24" s="678">
        <v>8793.2999999999993</v>
      </c>
      <c r="D24" s="679">
        <v>1.1000000000000001</v>
      </c>
      <c r="E24" s="679">
        <v>8.6999999999999993</v>
      </c>
      <c r="F24" s="680">
        <v>5.7</v>
      </c>
    </row>
    <row r="25" spans="1:6" ht="16.5" customHeight="1" x14ac:dyDescent="0.3">
      <c r="A25" s="677">
        <v>2</v>
      </c>
      <c r="B25" s="678">
        <v>66917929</v>
      </c>
      <c r="C25" s="678">
        <v>8809.2999999999993</v>
      </c>
      <c r="D25" s="679">
        <v>1.1000000000000001</v>
      </c>
      <c r="E25" s="679">
        <v>8.6999999999999993</v>
      </c>
      <c r="F25" s="679">
        <v>5.7</v>
      </c>
    </row>
    <row r="26" spans="1:6" ht="16.5" customHeight="1" x14ac:dyDescent="0.3">
      <c r="A26" s="677">
        <v>3</v>
      </c>
      <c r="B26" s="678">
        <v>66974919</v>
      </c>
      <c r="C26" s="678">
        <v>8778.2999999999993</v>
      </c>
      <c r="D26" s="679">
        <v>1.1000000000000001</v>
      </c>
      <c r="E26" s="679">
        <v>8.6999999999999993</v>
      </c>
      <c r="F26" s="679">
        <v>5.7</v>
      </c>
    </row>
    <row r="27" spans="1:6" ht="16.5" customHeight="1" x14ac:dyDescent="0.3">
      <c r="A27" s="677">
        <v>4</v>
      </c>
      <c r="B27" s="678">
        <v>67001546</v>
      </c>
      <c r="C27" s="678">
        <v>8787.7999999999993</v>
      </c>
      <c r="D27" s="679">
        <v>1.1000000000000001</v>
      </c>
      <c r="E27" s="679">
        <v>8.6</v>
      </c>
      <c r="F27" s="679">
        <v>5.7</v>
      </c>
    </row>
    <row r="28" spans="1:6" ht="16.5" customHeight="1" x14ac:dyDescent="0.3">
      <c r="A28" s="677">
        <v>5</v>
      </c>
      <c r="B28" s="678">
        <v>66815267</v>
      </c>
      <c r="C28" s="678">
        <v>8735.9</v>
      </c>
      <c r="D28" s="679">
        <v>1.1000000000000001</v>
      </c>
      <c r="E28" s="679">
        <v>8.6</v>
      </c>
      <c r="F28" s="679">
        <v>5.7</v>
      </c>
    </row>
    <row r="29" spans="1:6" ht="16.5" customHeight="1" x14ac:dyDescent="0.3">
      <c r="A29" s="677">
        <v>6</v>
      </c>
      <c r="B29" s="681">
        <v>67001712</v>
      </c>
      <c r="C29" s="681">
        <v>8714.5</v>
      </c>
      <c r="D29" s="682">
        <v>1.1000000000000001</v>
      </c>
      <c r="E29" s="682">
        <v>8.6</v>
      </c>
      <c r="F29" s="682">
        <v>5.7</v>
      </c>
    </row>
    <row r="30" spans="1:6" ht="16.5" customHeight="1" x14ac:dyDescent="0.3">
      <c r="A30" s="683" t="s">
        <v>18</v>
      </c>
      <c r="B30" s="684">
        <f>AVERAGE(B24:B29)</f>
        <v>66952529.5</v>
      </c>
      <c r="C30" s="685">
        <f>AVERAGE(C24:C29)</f>
        <v>8769.85</v>
      </c>
      <c r="D30" s="686">
        <f>AVERAGE(D24:D29)</f>
        <v>1.0999999999999999</v>
      </c>
      <c r="E30" s="686">
        <f>AVERAGE(E24:E29)</f>
        <v>8.65</v>
      </c>
      <c r="F30" s="686">
        <f>AVERAGE(F24:F29)</f>
        <v>5.7</v>
      </c>
    </row>
    <row r="31" spans="1:6" ht="16.5" customHeight="1" x14ac:dyDescent="0.3">
      <c r="A31" s="687" t="s">
        <v>19</v>
      </c>
      <c r="B31" s="688">
        <f>(STDEV(B24:B29)/B30)</f>
        <v>1.1175067148189713E-3</v>
      </c>
      <c r="C31" s="689"/>
      <c r="D31" s="689"/>
      <c r="E31" s="689"/>
      <c r="F31" s="690"/>
    </row>
    <row r="32" spans="1:6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4"/>
      <c r="F32" s="695"/>
    </row>
    <row r="33" spans="1:6" s="664" customFormat="1" ht="15.75" customHeight="1" x14ac:dyDescent="0.25">
      <c r="A33" s="671"/>
      <c r="B33" s="671"/>
      <c r="C33" s="671"/>
      <c r="D33" s="671"/>
      <c r="E33" s="671"/>
      <c r="F33" s="671"/>
    </row>
    <row r="34" spans="1:6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  <c r="F34" s="697"/>
    </row>
    <row r="35" spans="1:6" ht="16.5" customHeight="1" x14ac:dyDescent="0.3">
      <c r="A35" s="672"/>
      <c r="B35" s="696" t="s">
        <v>23</v>
      </c>
      <c r="C35" s="697"/>
      <c r="D35" s="697"/>
      <c r="E35" s="697"/>
      <c r="F35" s="697"/>
    </row>
    <row r="36" spans="1:6" ht="16.5" customHeight="1" x14ac:dyDescent="0.3">
      <c r="A36" s="672"/>
      <c r="B36" s="696" t="s">
        <v>24</v>
      </c>
      <c r="C36" s="697"/>
      <c r="D36" s="697"/>
      <c r="E36" s="697"/>
      <c r="F36" s="697"/>
    </row>
    <row r="37" spans="1:6" ht="15.75" customHeight="1" x14ac:dyDescent="0.25">
      <c r="A37" s="671"/>
      <c r="B37" s="671" t="s">
        <v>139</v>
      </c>
      <c r="C37" s="671"/>
      <c r="D37" s="671"/>
      <c r="E37" s="671"/>
      <c r="F37" s="671"/>
    </row>
    <row r="38" spans="1:6" ht="16.5" customHeight="1" x14ac:dyDescent="0.3">
      <c r="A38" s="667" t="s">
        <v>1</v>
      </c>
      <c r="B38" s="668" t="s">
        <v>25</v>
      </c>
    </row>
    <row r="39" spans="1:6" ht="16.5" customHeight="1" x14ac:dyDescent="0.3">
      <c r="A39" s="672" t="s">
        <v>4</v>
      </c>
      <c r="B39" s="669"/>
      <c r="C39" s="671"/>
      <c r="D39" s="671"/>
      <c r="E39" s="671"/>
      <c r="F39" s="671"/>
    </row>
    <row r="40" spans="1:6" ht="16.5" customHeight="1" x14ac:dyDescent="0.3">
      <c r="A40" s="672" t="s">
        <v>6</v>
      </c>
      <c r="B40" s="673"/>
      <c r="C40" s="671"/>
      <c r="D40" s="671"/>
      <c r="E40" s="671"/>
      <c r="F40" s="671"/>
    </row>
    <row r="41" spans="1:6" ht="16.5" customHeight="1" x14ac:dyDescent="0.3">
      <c r="A41" s="669" t="s">
        <v>8</v>
      </c>
      <c r="B41" s="673"/>
      <c r="C41" s="671"/>
      <c r="D41" s="671"/>
      <c r="E41" s="671"/>
      <c r="F41" s="671"/>
    </row>
    <row r="42" spans="1:6" ht="16.5" customHeight="1" x14ac:dyDescent="0.3">
      <c r="A42" s="669" t="s">
        <v>10</v>
      </c>
      <c r="B42" s="674"/>
      <c r="C42" s="671"/>
      <c r="D42" s="671"/>
      <c r="E42" s="671"/>
      <c r="F42" s="671"/>
    </row>
    <row r="43" spans="1:6" ht="15.75" customHeight="1" x14ac:dyDescent="0.25">
      <c r="A43" s="671"/>
      <c r="B43" s="671"/>
      <c r="C43" s="671"/>
      <c r="D43" s="671"/>
      <c r="E43" s="671"/>
      <c r="F43" s="671"/>
    </row>
    <row r="44" spans="1:6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138</v>
      </c>
      <c r="F44" s="675" t="s">
        <v>17</v>
      </c>
    </row>
    <row r="45" spans="1:6" ht="16.5" customHeight="1" x14ac:dyDescent="0.3">
      <c r="A45" s="677">
        <v>1</v>
      </c>
      <c r="B45" s="678"/>
      <c r="C45" s="678"/>
      <c r="D45" s="679"/>
      <c r="E45" s="679"/>
      <c r="F45" s="680"/>
    </row>
    <row r="46" spans="1:6" ht="16.5" customHeight="1" x14ac:dyDescent="0.3">
      <c r="A46" s="677">
        <v>2</v>
      </c>
      <c r="B46" s="678"/>
      <c r="C46" s="678"/>
      <c r="D46" s="679"/>
      <c r="E46" s="679"/>
      <c r="F46" s="679"/>
    </row>
    <row r="47" spans="1:6" ht="16.5" customHeight="1" x14ac:dyDescent="0.3">
      <c r="A47" s="677">
        <v>3</v>
      </c>
      <c r="B47" s="678"/>
      <c r="C47" s="678"/>
      <c r="D47" s="679"/>
      <c r="E47" s="679"/>
      <c r="F47" s="679"/>
    </row>
    <row r="48" spans="1:6" ht="16.5" customHeight="1" x14ac:dyDescent="0.3">
      <c r="A48" s="677">
        <v>4</v>
      </c>
      <c r="B48" s="678"/>
      <c r="C48" s="678"/>
      <c r="D48" s="679"/>
      <c r="E48" s="679"/>
      <c r="F48" s="679"/>
    </row>
    <row r="49" spans="1:8" ht="16.5" customHeight="1" x14ac:dyDescent="0.3">
      <c r="A49" s="677">
        <v>5</v>
      </c>
      <c r="B49" s="678"/>
      <c r="C49" s="678"/>
      <c r="D49" s="679"/>
      <c r="E49" s="679"/>
      <c r="F49" s="679"/>
    </row>
    <row r="50" spans="1:8" ht="16.5" customHeight="1" x14ac:dyDescent="0.3">
      <c r="A50" s="677">
        <v>6</v>
      </c>
      <c r="B50" s="681"/>
      <c r="C50" s="681"/>
      <c r="D50" s="682"/>
      <c r="E50" s="682"/>
      <c r="F50" s="682"/>
    </row>
    <row r="51" spans="1:8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/>
      <c r="F51" s="686" t="e">
        <f>AVERAGE(F45:F50)</f>
        <v>#DIV/0!</v>
      </c>
    </row>
    <row r="52" spans="1:8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89"/>
      <c r="F52" s="690"/>
    </row>
    <row r="53" spans="1:8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4"/>
      <c r="F53" s="695"/>
    </row>
    <row r="54" spans="1:8" s="664" customFormat="1" ht="15.75" customHeight="1" x14ac:dyDescent="0.25">
      <c r="A54" s="671"/>
      <c r="B54" s="671"/>
      <c r="C54" s="671"/>
      <c r="D54" s="671"/>
      <c r="E54" s="671"/>
      <c r="F54" s="671"/>
    </row>
    <row r="55" spans="1:8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  <c r="F55" s="697"/>
    </row>
    <row r="56" spans="1:8" ht="16.5" customHeight="1" x14ac:dyDescent="0.3">
      <c r="A56" s="672"/>
      <c r="B56" s="696" t="s">
        <v>23</v>
      </c>
      <c r="C56" s="697"/>
      <c r="D56" s="697"/>
      <c r="E56" s="697"/>
      <c r="F56" s="697"/>
    </row>
    <row r="57" spans="1:8" ht="16.5" customHeight="1" x14ac:dyDescent="0.3">
      <c r="A57" s="672"/>
      <c r="B57" s="696" t="s">
        <v>24</v>
      </c>
      <c r="C57" s="697"/>
      <c r="D57" s="697"/>
      <c r="E57" s="697"/>
      <c r="F57" s="697"/>
    </row>
    <row r="58" spans="1:8" ht="14.25" customHeight="1" thickBot="1" x14ac:dyDescent="0.3">
      <c r="A58" s="698"/>
      <c r="B58" s="671" t="s">
        <v>140</v>
      </c>
      <c r="D58" s="699"/>
      <c r="E58" s="700"/>
      <c r="G58" s="701"/>
      <c r="H58" s="701"/>
    </row>
    <row r="59" spans="1:8" ht="15" customHeight="1" x14ac:dyDescent="0.3">
      <c r="B59" s="702" t="s">
        <v>26</v>
      </c>
      <c r="C59" s="702"/>
      <c r="F59" s="703" t="s">
        <v>27</v>
      </c>
      <c r="G59" s="704"/>
      <c r="H59" s="703" t="s">
        <v>28</v>
      </c>
    </row>
    <row r="60" spans="1:8" ht="15" customHeight="1" x14ac:dyDescent="0.3">
      <c r="A60" s="705" t="s">
        <v>29</v>
      </c>
      <c r="B60" s="706" t="s">
        <v>141</v>
      </c>
      <c r="C60" s="706"/>
      <c r="F60" s="706" t="s">
        <v>142</v>
      </c>
      <c r="H60" s="706"/>
    </row>
    <row r="61" spans="1:8" ht="15" customHeight="1" x14ac:dyDescent="0.3">
      <c r="A61" s="705" t="s">
        <v>30</v>
      </c>
      <c r="B61" s="707"/>
      <c r="C61" s="707"/>
      <c r="F61" s="707"/>
      <c r="H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C28" sqref="C28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5" width="25.85546875" style="664" customWidth="1"/>
    <col min="6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1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6"/>
    </row>
    <row r="16" spans="1:7" ht="16.5" customHeight="1" x14ac:dyDescent="0.3">
      <c r="A16" s="667" t="s">
        <v>1</v>
      </c>
      <c r="B16" s="668" t="s">
        <v>2</v>
      </c>
    </row>
    <row r="17" spans="1:6" ht="16.5" customHeight="1" x14ac:dyDescent="0.3">
      <c r="A17" s="669" t="s">
        <v>3</v>
      </c>
      <c r="B17" s="669" t="s">
        <v>137</v>
      </c>
      <c r="D17" s="670"/>
      <c r="E17" s="670"/>
      <c r="F17" s="671"/>
    </row>
    <row r="18" spans="1:6" ht="16.5" customHeight="1" x14ac:dyDescent="0.3">
      <c r="A18" s="672" t="s">
        <v>4</v>
      </c>
      <c r="B18" s="673" t="s">
        <v>133</v>
      </c>
      <c r="C18" s="671"/>
      <c r="D18" s="671"/>
      <c r="E18" s="671"/>
      <c r="F18" s="671"/>
    </row>
    <row r="19" spans="1:6" ht="16.5" customHeight="1" x14ac:dyDescent="0.3">
      <c r="A19" s="672" t="s">
        <v>6</v>
      </c>
      <c r="B19" s="673">
        <v>99.7</v>
      </c>
      <c r="C19" s="671"/>
      <c r="D19" s="671"/>
      <c r="E19" s="671"/>
      <c r="F19" s="671"/>
    </row>
    <row r="20" spans="1:6" ht="16.5" customHeight="1" x14ac:dyDescent="0.3">
      <c r="A20" s="669" t="s">
        <v>8</v>
      </c>
      <c r="B20" s="673">
        <v>19.04</v>
      </c>
      <c r="C20" s="671"/>
      <c r="D20" s="671"/>
      <c r="E20" s="671"/>
      <c r="F20" s="671"/>
    </row>
    <row r="21" spans="1:6" ht="16.5" customHeight="1" x14ac:dyDescent="0.3">
      <c r="A21" s="669" t="s">
        <v>10</v>
      </c>
      <c r="B21" s="673">
        <f>19.04/20*4/20</f>
        <v>0.19039999999999999</v>
      </c>
      <c r="C21" s="671"/>
      <c r="D21" s="671"/>
      <c r="E21" s="671"/>
      <c r="F21" s="671"/>
    </row>
    <row r="22" spans="1:6" ht="15.75" customHeight="1" x14ac:dyDescent="0.25">
      <c r="A22" s="671"/>
      <c r="B22" s="671"/>
      <c r="C22" s="671"/>
      <c r="D22" s="671"/>
      <c r="E22" s="671"/>
      <c r="F22" s="671"/>
    </row>
    <row r="23" spans="1:6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138</v>
      </c>
      <c r="F23" s="675" t="s">
        <v>17</v>
      </c>
    </row>
    <row r="24" spans="1:6" ht="16.5" customHeight="1" x14ac:dyDescent="0.3">
      <c r="A24" s="677">
        <v>1</v>
      </c>
      <c r="B24" s="678">
        <v>32025323</v>
      </c>
      <c r="C24" s="678">
        <v>8990.6</v>
      </c>
      <c r="D24" s="679">
        <v>1</v>
      </c>
      <c r="E24" s="679">
        <v>13.8</v>
      </c>
      <c r="F24" s="680">
        <v>10.3</v>
      </c>
    </row>
    <row r="25" spans="1:6" ht="16.5" customHeight="1" x14ac:dyDescent="0.3">
      <c r="A25" s="677">
        <v>2</v>
      </c>
      <c r="B25" s="678">
        <v>31978064</v>
      </c>
      <c r="C25" s="678">
        <v>8990.5</v>
      </c>
      <c r="D25" s="679">
        <v>1</v>
      </c>
      <c r="E25" s="679">
        <v>13.8</v>
      </c>
      <c r="F25" s="679">
        <v>10.4</v>
      </c>
    </row>
    <row r="26" spans="1:6" ht="16.5" customHeight="1" x14ac:dyDescent="0.3">
      <c r="A26" s="677">
        <v>3</v>
      </c>
      <c r="B26" s="678">
        <v>32006635</v>
      </c>
      <c r="C26" s="678">
        <v>8991.2000000000007</v>
      </c>
      <c r="D26" s="679">
        <v>1</v>
      </c>
      <c r="E26" s="679">
        <v>13.8</v>
      </c>
      <c r="F26" s="679">
        <v>10.4</v>
      </c>
    </row>
    <row r="27" spans="1:6" ht="16.5" customHeight="1" x14ac:dyDescent="0.3">
      <c r="A27" s="677">
        <v>4</v>
      </c>
      <c r="B27" s="678">
        <v>32017733</v>
      </c>
      <c r="C27" s="678">
        <v>8971.6</v>
      </c>
      <c r="D27" s="679">
        <v>1</v>
      </c>
      <c r="E27" s="679">
        <v>13.8</v>
      </c>
      <c r="F27" s="679">
        <v>10.4</v>
      </c>
    </row>
    <row r="28" spans="1:6" ht="16.5" customHeight="1" x14ac:dyDescent="0.3">
      <c r="A28" s="677">
        <v>5</v>
      </c>
      <c r="B28" s="678">
        <v>31924453</v>
      </c>
      <c r="C28" s="678">
        <v>8966.6</v>
      </c>
      <c r="D28" s="679">
        <v>1</v>
      </c>
      <c r="E28" s="679">
        <v>13.8</v>
      </c>
      <c r="F28" s="679">
        <v>10.4</v>
      </c>
    </row>
    <row r="29" spans="1:6" ht="16.5" customHeight="1" x14ac:dyDescent="0.3">
      <c r="A29" s="677">
        <v>6</v>
      </c>
      <c r="B29" s="681">
        <v>32019642</v>
      </c>
      <c r="C29" s="681">
        <v>8970.2000000000007</v>
      </c>
      <c r="D29" s="682">
        <v>1</v>
      </c>
      <c r="E29" s="682">
        <v>13.8</v>
      </c>
      <c r="F29" s="682">
        <v>10.4</v>
      </c>
    </row>
    <row r="30" spans="1:6" ht="16.5" customHeight="1" x14ac:dyDescent="0.3">
      <c r="A30" s="683" t="s">
        <v>18</v>
      </c>
      <c r="B30" s="684">
        <f>AVERAGE(B24:B29)</f>
        <v>31995308.333333332</v>
      </c>
      <c r="C30" s="685">
        <f>AVERAGE(C24:C29)</f>
        <v>8980.1166666666668</v>
      </c>
      <c r="D30" s="686">
        <f>AVERAGE(D24:D29)</f>
        <v>1</v>
      </c>
      <c r="E30" s="686">
        <v>13.8</v>
      </c>
      <c r="F30" s="686">
        <f>AVERAGE(F24:F29)</f>
        <v>10.383333333333333</v>
      </c>
    </row>
    <row r="31" spans="1:6" ht="16.5" customHeight="1" x14ac:dyDescent="0.3">
      <c r="A31" s="687" t="s">
        <v>19</v>
      </c>
      <c r="B31" s="688">
        <f>(STDEV(B24:B29)/B30)</f>
        <v>1.2057961087663565E-3</v>
      </c>
      <c r="C31" s="689"/>
      <c r="D31" s="689"/>
      <c r="E31" s="689"/>
      <c r="F31" s="690"/>
    </row>
    <row r="32" spans="1:6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4"/>
      <c r="F32" s="695"/>
    </row>
    <row r="33" spans="1:6" s="664" customFormat="1" ht="15.75" customHeight="1" x14ac:dyDescent="0.25">
      <c r="A33" s="671"/>
      <c r="B33" s="671"/>
      <c r="C33" s="671"/>
      <c r="D33" s="671"/>
      <c r="E33" s="671"/>
      <c r="F33" s="671"/>
    </row>
    <row r="34" spans="1:6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  <c r="F34" s="697"/>
    </row>
    <row r="35" spans="1:6" ht="16.5" customHeight="1" x14ac:dyDescent="0.3">
      <c r="A35" s="672"/>
      <c r="B35" s="696" t="s">
        <v>23</v>
      </c>
      <c r="C35" s="697"/>
      <c r="D35" s="697"/>
      <c r="E35" s="697"/>
      <c r="F35" s="697"/>
    </row>
    <row r="36" spans="1:6" ht="16.5" customHeight="1" x14ac:dyDescent="0.3">
      <c r="A36" s="672"/>
      <c r="B36" s="696" t="s">
        <v>24</v>
      </c>
      <c r="C36" s="697"/>
      <c r="D36" s="697"/>
      <c r="E36" s="697"/>
      <c r="F36" s="697"/>
    </row>
    <row r="37" spans="1:6" ht="15.75" customHeight="1" x14ac:dyDescent="0.25">
      <c r="A37" s="671"/>
      <c r="B37" s="671" t="s">
        <v>139</v>
      </c>
      <c r="C37" s="671"/>
      <c r="D37" s="671"/>
      <c r="E37" s="671"/>
      <c r="F37" s="671"/>
    </row>
    <row r="38" spans="1:6" ht="16.5" customHeight="1" x14ac:dyDescent="0.3">
      <c r="A38" s="667" t="s">
        <v>1</v>
      </c>
      <c r="B38" s="668" t="s">
        <v>25</v>
      </c>
    </row>
    <row r="39" spans="1:6" ht="16.5" customHeight="1" x14ac:dyDescent="0.3">
      <c r="A39" s="672" t="s">
        <v>4</v>
      </c>
      <c r="B39" s="669"/>
      <c r="C39" s="671"/>
      <c r="D39" s="671"/>
      <c r="E39" s="671"/>
      <c r="F39" s="671"/>
    </row>
    <row r="40" spans="1:6" ht="16.5" customHeight="1" x14ac:dyDescent="0.3">
      <c r="A40" s="672" t="s">
        <v>6</v>
      </c>
      <c r="B40" s="673"/>
      <c r="C40" s="671"/>
      <c r="D40" s="671"/>
      <c r="E40" s="671"/>
      <c r="F40" s="671"/>
    </row>
    <row r="41" spans="1:6" ht="16.5" customHeight="1" x14ac:dyDescent="0.3">
      <c r="A41" s="669" t="s">
        <v>8</v>
      </c>
      <c r="B41" s="673"/>
      <c r="C41" s="671"/>
      <c r="D41" s="671"/>
      <c r="E41" s="671"/>
      <c r="F41" s="671"/>
    </row>
    <row r="42" spans="1:6" ht="16.5" customHeight="1" x14ac:dyDescent="0.3">
      <c r="A42" s="669" t="s">
        <v>10</v>
      </c>
      <c r="B42" s="674"/>
      <c r="C42" s="671"/>
      <c r="D42" s="671"/>
      <c r="E42" s="671"/>
      <c r="F42" s="671"/>
    </row>
    <row r="43" spans="1:6" ht="15.75" customHeight="1" x14ac:dyDescent="0.25">
      <c r="A43" s="671"/>
      <c r="B43" s="671"/>
      <c r="C43" s="671"/>
      <c r="D43" s="671"/>
      <c r="E43" s="671"/>
      <c r="F43" s="671"/>
    </row>
    <row r="44" spans="1:6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138</v>
      </c>
      <c r="F44" s="675" t="s">
        <v>17</v>
      </c>
    </row>
    <row r="45" spans="1:6" ht="16.5" customHeight="1" x14ac:dyDescent="0.3">
      <c r="A45" s="677">
        <v>1</v>
      </c>
      <c r="B45" s="678"/>
      <c r="C45" s="678"/>
      <c r="D45" s="679"/>
      <c r="E45" s="679"/>
      <c r="F45" s="680"/>
    </row>
    <row r="46" spans="1:6" ht="16.5" customHeight="1" x14ac:dyDescent="0.3">
      <c r="A46" s="677">
        <v>2</v>
      </c>
      <c r="B46" s="678"/>
      <c r="C46" s="678"/>
      <c r="D46" s="679"/>
      <c r="E46" s="679"/>
      <c r="F46" s="679"/>
    </row>
    <row r="47" spans="1:6" ht="16.5" customHeight="1" x14ac:dyDescent="0.3">
      <c r="A47" s="677">
        <v>3</v>
      </c>
      <c r="B47" s="678"/>
      <c r="C47" s="678"/>
      <c r="D47" s="679"/>
      <c r="E47" s="679"/>
      <c r="F47" s="679"/>
    </row>
    <row r="48" spans="1:6" ht="16.5" customHeight="1" x14ac:dyDescent="0.3">
      <c r="A48" s="677">
        <v>4</v>
      </c>
      <c r="B48" s="678"/>
      <c r="C48" s="678"/>
      <c r="D48" s="679"/>
      <c r="E48" s="679"/>
      <c r="F48" s="679"/>
    </row>
    <row r="49" spans="1:8" ht="16.5" customHeight="1" x14ac:dyDescent="0.3">
      <c r="A49" s="677">
        <v>5</v>
      </c>
      <c r="B49" s="678"/>
      <c r="C49" s="678"/>
      <c r="D49" s="679"/>
      <c r="E49" s="679"/>
      <c r="F49" s="679"/>
    </row>
    <row r="50" spans="1:8" ht="16.5" customHeight="1" x14ac:dyDescent="0.3">
      <c r="A50" s="677">
        <v>6</v>
      </c>
      <c r="B50" s="681"/>
      <c r="C50" s="681"/>
      <c r="D50" s="682"/>
      <c r="E50" s="682"/>
      <c r="F50" s="682"/>
    </row>
    <row r="51" spans="1:8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/>
      <c r="F51" s="686" t="e">
        <f>AVERAGE(F45:F50)</f>
        <v>#DIV/0!</v>
      </c>
    </row>
    <row r="52" spans="1:8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89"/>
      <c r="F52" s="690"/>
    </row>
    <row r="53" spans="1:8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4"/>
      <c r="F53" s="695"/>
    </row>
    <row r="54" spans="1:8" s="664" customFormat="1" ht="15.75" customHeight="1" x14ac:dyDescent="0.25">
      <c r="A54" s="671"/>
      <c r="B54" s="671"/>
      <c r="C54" s="671"/>
      <c r="D54" s="671"/>
      <c r="E54" s="671"/>
      <c r="F54" s="671"/>
    </row>
    <row r="55" spans="1:8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  <c r="F55" s="697"/>
    </row>
    <row r="56" spans="1:8" ht="16.5" customHeight="1" x14ac:dyDescent="0.3">
      <c r="A56" s="672"/>
      <c r="B56" s="696" t="s">
        <v>23</v>
      </c>
      <c r="C56" s="697"/>
      <c r="D56" s="697"/>
      <c r="E56" s="697"/>
      <c r="F56" s="697"/>
    </row>
    <row r="57" spans="1:8" ht="16.5" customHeight="1" x14ac:dyDescent="0.3">
      <c r="A57" s="672"/>
      <c r="B57" s="696" t="s">
        <v>24</v>
      </c>
      <c r="C57" s="697"/>
      <c r="D57" s="697"/>
      <c r="E57" s="697"/>
      <c r="F57" s="697"/>
    </row>
    <row r="58" spans="1:8" ht="14.25" customHeight="1" thickBot="1" x14ac:dyDescent="0.3">
      <c r="A58" s="698"/>
      <c r="B58" s="671" t="s">
        <v>140</v>
      </c>
      <c r="D58" s="699"/>
      <c r="E58" s="700"/>
      <c r="G58" s="701"/>
      <c r="H58" s="701"/>
    </row>
    <row r="59" spans="1:8" ht="15" customHeight="1" x14ac:dyDescent="0.3">
      <c r="B59" s="702" t="s">
        <v>26</v>
      </c>
      <c r="C59" s="702"/>
      <c r="F59" s="703" t="s">
        <v>27</v>
      </c>
      <c r="G59" s="704"/>
      <c r="H59" s="703" t="s">
        <v>28</v>
      </c>
    </row>
    <row r="60" spans="1:8" ht="15" customHeight="1" x14ac:dyDescent="0.3">
      <c r="A60" s="705" t="s">
        <v>29</v>
      </c>
      <c r="B60" s="706" t="s">
        <v>141</v>
      </c>
      <c r="C60" s="706"/>
      <c r="F60" s="706" t="s">
        <v>142</v>
      </c>
      <c r="H60" s="706"/>
    </row>
    <row r="61" spans="1:8" ht="15" customHeight="1" x14ac:dyDescent="0.3">
      <c r="A61" s="705" t="s">
        <v>30</v>
      </c>
      <c r="B61" s="707"/>
      <c r="C61" s="707"/>
      <c r="F61" s="707"/>
      <c r="H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C28" sqref="C28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1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7" t="s">
        <v>1</v>
      </c>
      <c r="B16" s="668" t="s">
        <v>2</v>
      </c>
    </row>
    <row r="17" spans="1:5" ht="16.5" customHeight="1" x14ac:dyDescent="0.3">
      <c r="A17" s="669" t="s">
        <v>3</v>
      </c>
      <c r="B17" s="669" t="s">
        <v>137</v>
      </c>
      <c r="D17" s="670"/>
      <c r="E17" s="671"/>
    </row>
    <row r="18" spans="1:5" ht="16.5" customHeight="1" x14ac:dyDescent="0.3">
      <c r="A18" s="672" t="s">
        <v>4</v>
      </c>
      <c r="B18" s="673" t="s">
        <v>134</v>
      </c>
      <c r="C18" s="671"/>
      <c r="D18" s="671"/>
      <c r="E18" s="671"/>
    </row>
    <row r="19" spans="1:5" ht="16.5" customHeight="1" x14ac:dyDescent="0.3">
      <c r="A19" s="672" t="s">
        <v>6</v>
      </c>
      <c r="B19" s="673">
        <v>99.39</v>
      </c>
      <c r="C19" s="671"/>
      <c r="D19" s="671"/>
      <c r="E19" s="671"/>
    </row>
    <row r="20" spans="1:5" ht="16.5" customHeight="1" x14ac:dyDescent="0.3">
      <c r="A20" s="669" t="s">
        <v>8</v>
      </c>
      <c r="B20" s="673">
        <v>14.63</v>
      </c>
      <c r="C20" s="671"/>
      <c r="D20" s="671"/>
      <c r="E20" s="671"/>
    </row>
    <row r="21" spans="1:5" ht="16.5" customHeight="1" x14ac:dyDescent="0.3">
      <c r="A21" s="669" t="s">
        <v>10</v>
      </c>
      <c r="B21" s="674">
        <f>14.63/20*4/20</f>
        <v>0.14630000000000001</v>
      </c>
      <c r="C21" s="671"/>
      <c r="D21" s="671"/>
      <c r="E21" s="671"/>
    </row>
    <row r="22" spans="1:5" ht="15.75" customHeight="1" x14ac:dyDescent="0.25">
      <c r="A22" s="671"/>
      <c r="B22" s="671"/>
      <c r="C22" s="671"/>
      <c r="D22" s="671"/>
      <c r="E22" s="671"/>
    </row>
    <row r="23" spans="1:5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17</v>
      </c>
    </row>
    <row r="24" spans="1:5" ht="16.5" customHeight="1" x14ac:dyDescent="0.3">
      <c r="A24" s="677">
        <v>1</v>
      </c>
      <c r="B24" s="678">
        <v>37564202</v>
      </c>
      <c r="C24" s="678">
        <v>7643.7</v>
      </c>
      <c r="D24" s="679">
        <v>1.1000000000000001</v>
      </c>
      <c r="E24" s="680">
        <v>3.9</v>
      </c>
    </row>
    <row r="25" spans="1:5" ht="16.5" customHeight="1" x14ac:dyDescent="0.3">
      <c r="A25" s="677">
        <v>2</v>
      </c>
      <c r="B25" s="678">
        <v>37515187</v>
      </c>
      <c r="C25" s="678">
        <v>7668.1</v>
      </c>
      <c r="D25" s="679">
        <v>1.1000000000000001</v>
      </c>
      <c r="E25" s="679">
        <v>3.9</v>
      </c>
    </row>
    <row r="26" spans="1:5" ht="16.5" customHeight="1" x14ac:dyDescent="0.3">
      <c r="A26" s="677">
        <v>3</v>
      </c>
      <c r="B26" s="678">
        <v>37550583</v>
      </c>
      <c r="C26" s="678">
        <v>7652.1</v>
      </c>
      <c r="D26" s="679">
        <v>1.1000000000000001</v>
      </c>
      <c r="E26" s="679">
        <v>3.9</v>
      </c>
    </row>
    <row r="27" spans="1:5" ht="16.5" customHeight="1" x14ac:dyDescent="0.3">
      <c r="A27" s="677">
        <v>4</v>
      </c>
      <c r="B27" s="678">
        <v>37559317</v>
      </c>
      <c r="C27" s="678">
        <v>7644.9</v>
      </c>
      <c r="D27" s="679">
        <v>1.1000000000000001</v>
      </c>
      <c r="E27" s="679">
        <v>3.9</v>
      </c>
    </row>
    <row r="28" spans="1:5" ht="16.5" customHeight="1" x14ac:dyDescent="0.3">
      <c r="A28" s="677">
        <v>5</v>
      </c>
      <c r="B28" s="678">
        <v>37452675</v>
      </c>
      <c r="C28" s="678">
        <v>7607</v>
      </c>
      <c r="D28" s="679">
        <v>1.1000000000000001</v>
      </c>
      <c r="E28" s="679">
        <v>3.9</v>
      </c>
    </row>
    <row r="29" spans="1:5" ht="16.5" customHeight="1" x14ac:dyDescent="0.3">
      <c r="A29" s="677">
        <v>6</v>
      </c>
      <c r="B29" s="681">
        <v>37558585</v>
      </c>
      <c r="C29" s="681">
        <v>7598.7</v>
      </c>
      <c r="D29" s="682">
        <v>1.1000000000000001</v>
      </c>
      <c r="E29" s="682">
        <v>3.9</v>
      </c>
    </row>
    <row r="30" spans="1:5" ht="16.5" customHeight="1" x14ac:dyDescent="0.3">
      <c r="A30" s="683" t="s">
        <v>18</v>
      </c>
      <c r="B30" s="684">
        <f>AVERAGE(B24:B29)</f>
        <v>37533424.833333336</v>
      </c>
      <c r="C30" s="685">
        <f>AVERAGE(C24:C29)</f>
        <v>7635.75</v>
      </c>
      <c r="D30" s="686">
        <f>AVERAGE(D24:D29)</f>
        <v>1.0999999999999999</v>
      </c>
      <c r="E30" s="686">
        <f>AVERAGE(E24:E29)</f>
        <v>3.9</v>
      </c>
    </row>
    <row r="31" spans="1:5" ht="16.5" customHeight="1" x14ac:dyDescent="0.3">
      <c r="A31" s="687" t="s">
        <v>19</v>
      </c>
      <c r="B31" s="688">
        <f>(STDEV(B24:B29)/B30)</f>
        <v>1.155100620397012E-3</v>
      </c>
      <c r="C31" s="689"/>
      <c r="D31" s="689"/>
      <c r="E31" s="690"/>
    </row>
    <row r="32" spans="1:5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5"/>
    </row>
    <row r="33" spans="1:5" s="664" customFormat="1" ht="15.75" customHeight="1" x14ac:dyDescent="0.25">
      <c r="A33" s="671"/>
      <c r="B33" s="671"/>
      <c r="C33" s="671"/>
      <c r="D33" s="671"/>
      <c r="E33" s="671"/>
    </row>
    <row r="34" spans="1:5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</row>
    <row r="35" spans="1:5" ht="16.5" customHeight="1" x14ac:dyDescent="0.3">
      <c r="A35" s="672"/>
      <c r="B35" s="696" t="s">
        <v>23</v>
      </c>
      <c r="C35" s="697"/>
      <c r="D35" s="697"/>
      <c r="E35" s="697"/>
    </row>
    <row r="36" spans="1:5" ht="16.5" customHeight="1" x14ac:dyDescent="0.3">
      <c r="A36" s="672"/>
      <c r="B36" s="696" t="s">
        <v>24</v>
      </c>
      <c r="C36" s="697"/>
      <c r="D36" s="697"/>
      <c r="E36" s="697"/>
    </row>
    <row r="37" spans="1:5" ht="15.75" customHeight="1" x14ac:dyDescent="0.25">
      <c r="A37" s="671"/>
      <c r="B37" s="671" t="s">
        <v>139</v>
      </c>
      <c r="C37" s="671"/>
      <c r="D37" s="671"/>
      <c r="E37" s="671"/>
    </row>
    <row r="38" spans="1:5" ht="16.5" customHeight="1" x14ac:dyDescent="0.3">
      <c r="A38" s="667" t="s">
        <v>1</v>
      </c>
      <c r="B38" s="668" t="s">
        <v>25</v>
      </c>
    </row>
    <row r="39" spans="1:5" ht="16.5" customHeight="1" x14ac:dyDescent="0.3">
      <c r="A39" s="672" t="s">
        <v>4</v>
      </c>
      <c r="B39" s="669"/>
      <c r="C39" s="671"/>
      <c r="D39" s="671"/>
      <c r="E39" s="671"/>
    </row>
    <row r="40" spans="1:5" ht="16.5" customHeight="1" x14ac:dyDescent="0.3">
      <c r="A40" s="672" t="s">
        <v>6</v>
      </c>
      <c r="B40" s="673"/>
      <c r="C40" s="671"/>
      <c r="D40" s="671"/>
      <c r="E40" s="671"/>
    </row>
    <row r="41" spans="1:5" ht="16.5" customHeight="1" x14ac:dyDescent="0.3">
      <c r="A41" s="669" t="s">
        <v>8</v>
      </c>
      <c r="B41" s="673"/>
      <c r="C41" s="671"/>
      <c r="D41" s="671"/>
      <c r="E41" s="671"/>
    </row>
    <row r="42" spans="1:5" ht="16.5" customHeight="1" x14ac:dyDescent="0.3">
      <c r="A42" s="669" t="s">
        <v>10</v>
      </c>
      <c r="B42" s="674"/>
      <c r="C42" s="671"/>
      <c r="D42" s="671"/>
      <c r="E42" s="671"/>
    </row>
    <row r="43" spans="1:5" ht="15.75" customHeight="1" x14ac:dyDescent="0.25">
      <c r="A43" s="671"/>
      <c r="B43" s="671"/>
      <c r="C43" s="671"/>
      <c r="D43" s="671"/>
      <c r="E43" s="671"/>
    </row>
    <row r="44" spans="1:5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17</v>
      </c>
    </row>
    <row r="45" spans="1:5" ht="16.5" customHeight="1" x14ac:dyDescent="0.3">
      <c r="A45" s="677">
        <v>1</v>
      </c>
      <c r="B45" s="678"/>
      <c r="C45" s="678"/>
      <c r="D45" s="679"/>
      <c r="E45" s="680"/>
    </row>
    <row r="46" spans="1:5" ht="16.5" customHeight="1" x14ac:dyDescent="0.3">
      <c r="A46" s="677">
        <v>2</v>
      </c>
      <c r="B46" s="678"/>
      <c r="C46" s="678"/>
      <c r="D46" s="679"/>
      <c r="E46" s="679"/>
    </row>
    <row r="47" spans="1:5" ht="16.5" customHeight="1" x14ac:dyDescent="0.3">
      <c r="A47" s="677">
        <v>3</v>
      </c>
      <c r="B47" s="678"/>
      <c r="C47" s="678"/>
      <c r="D47" s="679"/>
      <c r="E47" s="679"/>
    </row>
    <row r="48" spans="1:5" ht="16.5" customHeight="1" x14ac:dyDescent="0.3">
      <c r="A48" s="677">
        <v>4</v>
      </c>
      <c r="B48" s="678"/>
      <c r="C48" s="678"/>
      <c r="D48" s="679"/>
      <c r="E48" s="679"/>
    </row>
    <row r="49" spans="1:7" ht="16.5" customHeight="1" x14ac:dyDescent="0.3">
      <c r="A49" s="677">
        <v>5</v>
      </c>
      <c r="B49" s="678"/>
      <c r="C49" s="678"/>
      <c r="D49" s="679"/>
      <c r="E49" s="679"/>
    </row>
    <row r="50" spans="1:7" ht="16.5" customHeight="1" x14ac:dyDescent="0.3">
      <c r="A50" s="677">
        <v>6</v>
      </c>
      <c r="B50" s="681"/>
      <c r="C50" s="681"/>
      <c r="D50" s="682"/>
      <c r="E50" s="682"/>
    </row>
    <row r="51" spans="1:7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 t="e">
        <f>AVERAGE(E45:E50)</f>
        <v>#DIV/0!</v>
      </c>
    </row>
    <row r="52" spans="1:7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90"/>
    </row>
    <row r="53" spans="1:7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5"/>
    </row>
    <row r="54" spans="1:7" s="664" customFormat="1" ht="15.75" customHeight="1" x14ac:dyDescent="0.25">
      <c r="A54" s="671"/>
      <c r="B54" s="671"/>
      <c r="C54" s="671"/>
      <c r="D54" s="671"/>
      <c r="E54" s="671"/>
    </row>
    <row r="55" spans="1:7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</row>
    <row r="56" spans="1:7" ht="16.5" customHeight="1" x14ac:dyDescent="0.3">
      <c r="A56" s="672"/>
      <c r="B56" s="696" t="s">
        <v>23</v>
      </c>
      <c r="C56" s="697"/>
      <c r="D56" s="697"/>
      <c r="E56" s="697"/>
    </row>
    <row r="57" spans="1:7" ht="16.5" customHeight="1" x14ac:dyDescent="0.3">
      <c r="A57" s="672"/>
      <c r="B57" s="696" t="s">
        <v>24</v>
      </c>
      <c r="C57" s="697"/>
      <c r="D57" s="697"/>
      <c r="E57" s="697"/>
    </row>
    <row r="58" spans="1:7" ht="14.25" customHeight="1" thickBot="1" x14ac:dyDescent="0.3">
      <c r="A58" s="698"/>
      <c r="B58" s="671" t="s">
        <v>140</v>
      </c>
      <c r="D58" s="699"/>
      <c r="F58" s="701"/>
      <c r="G58" s="701"/>
    </row>
    <row r="59" spans="1:7" ht="15" customHeight="1" x14ac:dyDescent="0.3">
      <c r="B59" s="702" t="s">
        <v>26</v>
      </c>
      <c r="C59" s="702"/>
      <c r="E59" s="703" t="s">
        <v>27</v>
      </c>
      <c r="F59" s="704"/>
      <c r="G59" s="703" t="s">
        <v>28</v>
      </c>
    </row>
    <row r="60" spans="1:7" ht="15" customHeight="1" x14ac:dyDescent="0.3">
      <c r="A60" s="705" t="s">
        <v>29</v>
      </c>
      <c r="B60" s="706" t="s">
        <v>141</v>
      </c>
      <c r="C60" s="706"/>
      <c r="E60" s="706" t="s">
        <v>142</v>
      </c>
      <c r="G60" s="706"/>
    </row>
    <row r="61" spans="1:7" ht="15" customHeight="1" x14ac:dyDescent="0.3">
      <c r="A61" s="705" t="s">
        <v>30</v>
      </c>
      <c r="B61" s="707"/>
      <c r="C61" s="707"/>
      <c r="E61" s="707"/>
      <c r="G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6" sqref="D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7" t="s">
        <v>31</v>
      </c>
      <c r="B11" s="618"/>
      <c r="C11" s="618"/>
      <c r="D11" s="618"/>
      <c r="E11" s="618"/>
      <c r="F11" s="619"/>
      <c r="G11" s="43"/>
    </row>
    <row r="12" spans="1:7" ht="16.5" customHeight="1" x14ac:dyDescent="0.3">
      <c r="A12" s="616" t="s">
        <v>32</v>
      </c>
      <c r="B12" s="616"/>
      <c r="C12" s="616"/>
      <c r="D12" s="616"/>
      <c r="E12" s="616"/>
      <c r="F12" s="616"/>
      <c r="G12" s="42"/>
    </row>
    <row r="14" spans="1:7" ht="16.5" customHeight="1" x14ac:dyDescent="0.3">
      <c r="A14" s="621" t="s">
        <v>33</v>
      </c>
      <c r="B14" s="621"/>
      <c r="C14" s="12" t="s">
        <v>5</v>
      </c>
    </row>
    <row r="15" spans="1:7" ht="16.5" customHeight="1" x14ac:dyDescent="0.3">
      <c r="A15" s="621" t="s">
        <v>34</v>
      </c>
      <c r="B15" s="621"/>
      <c r="C15" s="12" t="s">
        <v>7</v>
      </c>
    </row>
    <row r="16" spans="1:7" ht="16.5" customHeight="1" x14ac:dyDescent="0.3">
      <c r="A16" s="621" t="s">
        <v>35</v>
      </c>
      <c r="B16" s="621"/>
      <c r="C16" s="12" t="s">
        <v>9</v>
      </c>
    </row>
    <row r="17" spans="1:5" ht="16.5" customHeight="1" x14ac:dyDescent="0.3">
      <c r="A17" s="621" t="s">
        <v>36</v>
      </c>
      <c r="B17" s="621"/>
      <c r="C17" s="12" t="s">
        <v>11</v>
      </c>
    </row>
    <row r="18" spans="1:5" ht="16.5" customHeight="1" x14ac:dyDescent="0.3">
      <c r="A18" s="621" t="s">
        <v>37</v>
      </c>
      <c r="B18" s="621"/>
      <c r="C18" s="49" t="s">
        <v>12</v>
      </c>
    </row>
    <row r="19" spans="1:5" ht="16.5" customHeight="1" x14ac:dyDescent="0.3">
      <c r="A19" s="621" t="s">
        <v>38</v>
      </c>
      <c r="B19" s="6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6" t="s">
        <v>1</v>
      </c>
      <c r="B21" s="616"/>
      <c r="C21" s="11" t="s">
        <v>39</v>
      </c>
      <c r="D21" s="18"/>
    </row>
    <row r="22" spans="1:5" ht="15.75" customHeight="1" x14ac:dyDescent="0.3">
      <c r="A22" s="620"/>
      <c r="B22" s="620"/>
      <c r="C22" s="9"/>
      <c r="D22" s="620"/>
      <c r="E22" s="6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1111.9100000000001</v>
      </c>
      <c r="D24" s="39">
        <f t="shared" ref="D24:D43" si="0">(C24-$C$46)/$C$46</f>
        <v>-1.8572719762178731E-2</v>
      </c>
      <c r="E24" s="5"/>
    </row>
    <row r="25" spans="1:5" ht="15.75" customHeight="1" x14ac:dyDescent="0.3">
      <c r="C25" s="47">
        <v>1138.0899999999999</v>
      </c>
      <c r="D25" s="40">
        <f t="shared" si="0"/>
        <v>4.5350553244973488E-3</v>
      </c>
      <c r="E25" s="5"/>
    </row>
    <row r="26" spans="1:5" ht="15.75" customHeight="1" x14ac:dyDescent="0.3">
      <c r="C26" s="47">
        <v>1134.72</v>
      </c>
      <c r="D26" s="40">
        <f t="shared" si="0"/>
        <v>1.5605250707885498E-3</v>
      </c>
      <c r="E26" s="5"/>
    </row>
    <row r="27" spans="1:5" ht="15.75" customHeight="1" x14ac:dyDescent="0.3">
      <c r="C27" s="47">
        <v>1120.18</v>
      </c>
      <c r="D27" s="40">
        <f t="shared" si="0"/>
        <v>-1.127320486657858E-2</v>
      </c>
      <c r="E27" s="5"/>
    </row>
    <row r="28" spans="1:5" ht="15.75" customHeight="1" x14ac:dyDescent="0.3">
      <c r="C28" s="47">
        <v>1141.53</v>
      </c>
      <c r="D28" s="40">
        <f t="shared" si="0"/>
        <v>7.5713710730904524E-3</v>
      </c>
      <c r="E28" s="5"/>
    </row>
    <row r="29" spans="1:5" ht="15.75" customHeight="1" x14ac:dyDescent="0.3">
      <c r="C29" s="47">
        <v>1145.04</v>
      </c>
      <c r="D29" s="40">
        <f t="shared" si="0"/>
        <v>1.0669472316567662E-2</v>
      </c>
      <c r="E29" s="5"/>
    </row>
    <row r="30" spans="1:5" ht="15.75" customHeight="1" x14ac:dyDescent="0.3">
      <c r="C30" s="47">
        <v>1125.81</v>
      </c>
      <c r="D30" s="40">
        <f t="shared" si="0"/>
        <v>-6.3038857780383043E-3</v>
      </c>
      <c r="E30" s="5"/>
    </row>
    <row r="31" spans="1:5" ht="15.75" customHeight="1" x14ac:dyDescent="0.3">
      <c r="C31" s="47">
        <v>1146.99</v>
      </c>
      <c r="D31" s="40">
        <f t="shared" si="0"/>
        <v>1.2390639674055045E-2</v>
      </c>
      <c r="E31" s="5"/>
    </row>
    <row r="32" spans="1:5" ht="15.75" customHeight="1" x14ac:dyDescent="0.3">
      <c r="C32" s="47">
        <v>1133.76</v>
      </c>
      <c r="D32" s="40">
        <f t="shared" si="0"/>
        <v>7.1318114094859515E-4</v>
      </c>
      <c r="E32" s="5"/>
    </row>
    <row r="33" spans="1:7" ht="15.75" customHeight="1" x14ac:dyDescent="0.3">
      <c r="C33" s="47">
        <v>1113.69</v>
      </c>
      <c r="D33" s="40">
        <f t="shared" si="0"/>
        <v>-1.700160289226723E-2</v>
      </c>
      <c r="E33" s="5"/>
    </row>
    <row r="34" spans="1:7" ht="15.75" customHeight="1" x14ac:dyDescent="0.3">
      <c r="C34" s="47">
        <v>1157.6199999999999</v>
      </c>
      <c r="D34" s="40">
        <f t="shared" si="0"/>
        <v>2.1773208397178251E-2</v>
      </c>
      <c r="E34" s="5"/>
    </row>
    <row r="35" spans="1:7" ht="15.75" customHeight="1" x14ac:dyDescent="0.3">
      <c r="C35" s="47">
        <v>1118.03</v>
      </c>
      <c r="D35" s="40">
        <f t="shared" si="0"/>
        <v>-1.3170902209449319E-2</v>
      </c>
      <c r="E35" s="5"/>
    </row>
    <row r="36" spans="1:7" ht="15.75" customHeight="1" x14ac:dyDescent="0.3">
      <c r="C36" s="47">
        <v>1137.06</v>
      </c>
      <c r="D36" s="40">
        <f t="shared" si="0"/>
        <v>3.6259258997732888E-3</v>
      </c>
      <c r="E36" s="5"/>
    </row>
    <row r="37" spans="1:7" ht="15.75" customHeight="1" x14ac:dyDescent="0.3">
      <c r="C37" s="47">
        <v>1133.3699999999999</v>
      </c>
      <c r="D37" s="40">
        <f t="shared" si="0"/>
        <v>3.6894766945103823E-4</v>
      </c>
      <c r="E37" s="5"/>
    </row>
    <row r="38" spans="1:7" ht="15.75" customHeight="1" x14ac:dyDescent="0.3">
      <c r="C38" s="47">
        <v>1133.68</v>
      </c>
      <c r="D38" s="40">
        <f t="shared" si="0"/>
        <v>6.4256914679533246E-4</v>
      </c>
      <c r="E38" s="5"/>
    </row>
    <row r="39" spans="1:7" ht="15.75" customHeight="1" x14ac:dyDescent="0.3">
      <c r="C39" s="47">
        <v>1133.99</v>
      </c>
      <c r="D39" s="40">
        <f t="shared" si="0"/>
        <v>9.1619062413942601E-4</v>
      </c>
      <c r="E39" s="5"/>
    </row>
    <row r="40" spans="1:7" ht="15.75" customHeight="1" x14ac:dyDescent="0.3">
      <c r="C40" s="47">
        <v>1119.1300000000001</v>
      </c>
      <c r="D40" s="40">
        <f t="shared" si="0"/>
        <v>-1.2199987289840954E-2</v>
      </c>
      <c r="E40" s="5"/>
    </row>
    <row r="41" spans="1:7" ht="15.75" customHeight="1" x14ac:dyDescent="0.3">
      <c r="C41" s="47">
        <v>1150.01</v>
      </c>
      <c r="D41" s="40">
        <f t="shared" si="0"/>
        <v>1.5056242453343119E-2</v>
      </c>
      <c r="E41" s="5"/>
    </row>
    <row r="42" spans="1:7" ht="15.75" customHeight="1" x14ac:dyDescent="0.3">
      <c r="C42" s="47">
        <v>1136.3399999999999</v>
      </c>
      <c r="D42" s="40">
        <f t="shared" si="0"/>
        <v>2.990417952393323E-3</v>
      </c>
      <c r="E42" s="5"/>
    </row>
    <row r="43" spans="1:7" ht="16.5" customHeight="1" x14ac:dyDescent="0.3">
      <c r="C43" s="48">
        <v>1128.0899999999999</v>
      </c>
      <c r="D43" s="41">
        <f t="shared" si="0"/>
        <v>-4.2914439446685116E-3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22659.040000000001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1132.952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14">
        <f>C46</f>
        <v>1132.952</v>
      </c>
      <c r="C49" s="45">
        <f>-IF(C46&lt;=80,10%,IF(C46&lt;250,7.5%,5%))</f>
        <v>-0.05</v>
      </c>
      <c r="D49" s="33">
        <f>IF(C46&lt;=80,C46*0.9,IF(C46&lt;250,C46*0.925,C46*0.95))</f>
        <v>1076.3044</v>
      </c>
    </row>
    <row r="50" spans="1:6" ht="17.25" customHeight="1" x14ac:dyDescent="0.3">
      <c r="B50" s="615"/>
      <c r="C50" s="46">
        <f>IF(C46&lt;=80, 10%, IF(C46&lt;250, 7.5%, 5%))</f>
        <v>0.05</v>
      </c>
      <c r="D50" s="33">
        <f>IF(C46&lt;=80, C46*1.1, IF(C46&lt;250, C46*1.075, C46*1.05))</f>
        <v>1189.5996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4" sqref="B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50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52" t="s">
        <v>33</v>
      </c>
      <c r="B18" s="654" t="s">
        <v>5</v>
      </c>
      <c r="C18" s="65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59" t="s">
        <v>134</v>
      </c>
      <c r="C20" s="65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54" t="s">
        <v>134</v>
      </c>
      <c r="C26" s="654"/>
    </row>
    <row r="27" spans="1:14" ht="26.25" customHeight="1" x14ac:dyDescent="0.4">
      <c r="A27" s="61" t="s">
        <v>48</v>
      </c>
      <c r="B27" s="660" t="s">
        <v>135</v>
      </c>
      <c r="C27" s="660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30" t="s">
        <v>50</v>
      </c>
      <c r="D29" s="631"/>
      <c r="E29" s="631"/>
      <c r="F29" s="631"/>
      <c r="G29" s="63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33" t="s">
        <v>53</v>
      </c>
      <c r="D31" s="634"/>
      <c r="E31" s="634"/>
      <c r="F31" s="634"/>
      <c r="G31" s="634"/>
      <c r="H31" s="63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33" t="s">
        <v>55</v>
      </c>
      <c r="D32" s="634"/>
      <c r="E32" s="634"/>
      <c r="F32" s="634"/>
      <c r="G32" s="634"/>
      <c r="H32" s="63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36" t="s">
        <v>59</v>
      </c>
      <c r="E36" s="661"/>
      <c r="F36" s="636" t="s">
        <v>60</v>
      </c>
      <c r="G36" s="63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38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3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24" t="s">
        <v>78</v>
      </c>
      <c r="B46" s="625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26"/>
      <c r="B47" s="62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1132.952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41" t="s">
        <v>94</v>
      </c>
      <c r="D60" s="644">
        <v>1130.76</v>
      </c>
      <c r="E60" s="134">
        <v>1</v>
      </c>
      <c r="F60" s="135">
        <v>36607417</v>
      </c>
      <c r="G60" s="200">
        <f>IF(ISBLANK(F60),"-",(F60/$D$50*$D$47*$B$68)*($B$57/$D$60))</f>
        <v>142.05361070221377</v>
      </c>
      <c r="H60" s="218">
        <f t="shared" ref="H60:H71" si="0">IF(ISBLANK(F60),"-",(G60/$B$56)*100)</f>
        <v>94.702407134809192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42"/>
      <c r="D61" s="645"/>
      <c r="E61" s="136">
        <v>2</v>
      </c>
      <c r="F61" s="89">
        <v>36692314</v>
      </c>
      <c r="G61" s="201">
        <f>IF(ISBLANK(F61),"-",(F61/$D$50*$D$47*$B$68)*($B$57/$D$60))</f>
        <v>142.38305009936613</v>
      </c>
      <c r="H61" s="219">
        <f t="shared" si="0"/>
        <v>94.922033399577415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42"/>
      <c r="D62" s="645"/>
      <c r="E62" s="136">
        <v>3</v>
      </c>
      <c r="F62" s="137">
        <v>36751076</v>
      </c>
      <c r="G62" s="201">
        <f>IF(ISBLANK(F62),"-",(F62/$D$50*$D$47*$B$68)*($B$57/$D$60))</f>
        <v>142.61107367918015</v>
      </c>
      <c r="H62" s="219">
        <f t="shared" si="0"/>
        <v>95.074049119453434</v>
      </c>
      <c r="L62" s="64"/>
    </row>
    <row r="63" spans="1:12" ht="27" customHeight="1" x14ac:dyDescent="0.4">
      <c r="A63" s="76" t="s">
        <v>97</v>
      </c>
      <c r="B63" s="77">
        <v>1</v>
      </c>
      <c r="C63" s="651"/>
      <c r="D63" s="64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41" t="s">
        <v>99</v>
      </c>
      <c r="D64" s="644">
        <v>1141.27</v>
      </c>
      <c r="E64" s="134">
        <v>1</v>
      </c>
      <c r="F64" s="135">
        <v>37050965</v>
      </c>
      <c r="G64" s="200">
        <f>IF(ISBLANK(F64),"-",(F64/$D$50*$D$47*$B$68)*($B$57/$D$64))</f>
        <v>142.45075332140013</v>
      </c>
      <c r="H64" s="218">
        <f t="shared" si="0"/>
        <v>94.967168880933414</v>
      </c>
    </row>
    <row r="65" spans="1:8" ht="26.25" customHeight="1" x14ac:dyDescent="0.4">
      <c r="A65" s="76" t="s">
        <v>100</v>
      </c>
      <c r="B65" s="77">
        <v>1</v>
      </c>
      <c r="C65" s="642"/>
      <c r="D65" s="645"/>
      <c r="E65" s="136">
        <v>2</v>
      </c>
      <c r="F65" s="89">
        <v>37052975</v>
      </c>
      <c r="G65" s="201">
        <f>IF(ISBLANK(F65),"-",(F65/$D$50*$D$47*$B$68)*($B$57/$D$64))</f>
        <v>142.45848121766883</v>
      </c>
      <c r="H65" s="219">
        <f t="shared" si="0"/>
        <v>94.972320811779227</v>
      </c>
    </row>
    <row r="66" spans="1:8" ht="26.25" customHeight="1" x14ac:dyDescent="0.4">
      <c r="A66" s="76" t="s">
        <v>101</v>
      </c>
      <c r="B66" s="77">
        <v>1</v>
      </c>
      <c r="C66" s="642"/>
      <c r="D66" s="645"/>
      <c r="E66" s="136">
        <v>3</v>
      </c>
      <c r="F66" s="89">
        <v>37268009</v>
      </c>
      <c r="G66" s="201">
        <f>IF(ISBLANK(F66),"-",(F66/$D$50*$D$47*$B$68)*($B$57/$D$64))</f>
        <v>143.28522770833956</v>
      </c>
      <c r="H66" s="219">
        <f t="shared" si="0"/>
        <v>95.523485138893037</v>
      </c>
    </row>
    <row r="67" spans="1:8" ht="27" customHeight="1" x14ac:dyDescent="0.4">
      <c r="A67" s="76" t="s">
        <v>102</v>
      </c>
      <c r="B67" s="77">
        <v>1</v>
      </c>
      <c r="C67" s="651"/>
      <c r="D67" s="64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641" t="s">
        <v>104</v>
      </c>
      <c r="D68" s="644">
        <v>1122.53</v>
      </c>
      <c r="E68" s="134">
        <v>1</v>
      </c>
      <c r="F68" s="135">
        <v>36384120</v>
      </c>
      <c r="G68" s="200">
        <f>IF(ISBLANK(F68),"-",(F68/$D$50*$D$47*$B$68)*($B$57/$D$68))</f>
        <v>142.22225055080867</v>
      </c>
      <c r="H68" s="219">
        <f t="shared" si="0"/>
        <v>94.814833700539111</v>
      </c>
    </row>
    <row r="69" spans="1:8" ht="27" customHeight="1" x14ac:dyDescent="0.4">
      <c r="A69" s="124" t="s">
        <v>105</v>
      </c>
      <c r="B69" s="141">
        <f>(D47*B68)/B56*B57</f>
        <v>1132.952</v>
      </c>
      <c r="C69" s="642"/>
      <c r="D69" s="645"/>
      <c r="E69" s="136">
        <v>2</v>
      </c>
      <c r="F69" s="89">
        <v>36115528</v>
      </c>
      <c r="G69" s="201">
        <f>IF(ISBLANK(F69),"-",(F69/$D$50*$D$47*$B$68)*($B$57/$D$68))</f>
        <v>141.1723485957815</v>
      </c>
      <c r="H69" s="219">
        <f t="shared" si="0"/>
        <v>94.114899063854324</v>
      </c>
    </row>
    <row r="70" spans="1:8" ht="26.25" customHeight="1" x14ac:dyDescent="0.4">
      <c r="A70" s="647" t="s">
        <v>78</v>
      </c>
      <c r="B70" s="648"/>
      <c r="C70" s="642"/>
      <c r="D70" s="645"/>
      <c r="E70" s="136">
        <v>3</v>
      </c>
      <c r="F70" s="89">
        <v>36452271</v>
      </c>
      <c r="G70" s="201">
        <f>IF(ISBLANK(F70),"-",(F70/$D$50*$D$47*$B$68)*($B$57/$D$68))</f>
        <v>142.48864667629661</v>
      </c>
      <c r="H70" s="219">
        <f t="shared" si="0"/>
        <v>94.992431117531069</v>
      </c>
    </row>
    <row r="71" spans="1:8" ht="27" customHeight="1" x14ac:dyDescent="0.4">
      <c r="A71" s="649"/>
      <c r="B71" s="650"/>
      <c r="C71" s="643"/>
      <c r="D71" s="64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142.34727139456172</v>
      </c>
      <c r="H72" s="221">
        <f>AVERAGE(H60:H71)</f>
        <v>94.898180929707806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3.9082453597458176E-3</v>
      </c>
      <c r="H73" s="205">
        <f>STDEV(H60:H71)/H72</f>
        <v>3.9082453597458246E-3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628" t="str">
        <f>B26</f>
        <v>Lamivudine</v>
      </c>
      <c r="D76" s="628"/>
      <c r="E76" s="150" t="s">
        <v>108</v>
      </c>
      <c r="F76" s="150"/>
      <c r="G76" s="237">
        <f>H72</f>
        <v>94.898180929707806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62" t="str">
        <f>B26</f>
        <v>Lamivudine</v>
      </c>
      <c r="C79" s="662"/>
    </row>
    <row r="80" spans="1:8" ht="26.25" customHeight="1" x14ac:dyDescent="0.4">
      <c r="A80" s="61" t="s">
        <v>48</v>
      </c>
      <c r="B80" s="662" t="str">
        <f>B27</f>
        <v>L3-10</v>
      </c>
      <c r="C80" s="662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30" t="s">
        <v>50</v>
      </c>
      <c r="D82" s="631"/>
      <c r="E82" s="631"/>
      <c r="F82" s="631"/>
      <c r="G82" s="63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33" t="s">
        <v>111</v>
      </c>
      <c r="D84" s="634"/>
      <c r="E84" s="634"/>
      <c r="F84" s="634"/>
      <c r="G84" s="634"/>
      <c r="H84" s="63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33" t="s">
        <v>112</v>
      </c>
      <c r="D85" s="634"/>
      <c r="E85" s="634"/>
      <c r="F85" s="634"/>
      <c r="G85" s="634"/>
      <c r="H85" s="63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636" t="s">
        <v>60</v>
      </c>
      <c r="G89" s="637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38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3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24" t="s">
        <v>78</v>
      </c>
      <c r="B99" s="639"/>
      <c r="C99" s="167" t="s">
        <v>116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26"/>
      <c r="B100" s="640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40056867</v>
      </c>
      <c r="E108" s="202">
        <f t="shared" ref="E108:E113" si="1">IF(ISBLANK(D108),"-",D108/$D$103*$D$100*$B$116)</f>
        <v>139.62449177694296</v>
      </c>
      <c r="F108" s="229">
        <f t="shared" ref="F108:F113" si="2">IF(ISBLANK(D108), "-", (E108/$B$56)*100)</f>
        <v>93.082994517961964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40033913</v>
      </c>
      <c r="E109" s="203">
        <f t="shared" si="1"/>
        <v>139.54448201022188</v>
      </c>
      <c r="F109" s="230">
        <f t="shared" si="2"/>
        <v>93.029654673481261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40628845</v>
      </c>
      <c r="E110" s="203">
        <f t="shared" si="1"/>
        <v>141.6182107953972</v>
      </c>
      <c r="F110" s="230">
        <f t="shared" si="2"/>
        <v>94.412140530264793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40417992</v>
      </c>
      <c r="E111" s="203">
        <f t="shared" si="1"/>
        <v>140.88324959724252</v>
      </c>
      <c r="F111" s="230">
        <f t="shared" si="2"/>
        <v>93.922166398161693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41620998</v>
      </c>
      <c r="E112" s="203">
        <f t="shared" si="1"/>
        <v>145.07651566956446</v>
      </c>
      <c r="F112" s="230">
        <f t="shared" si="2"/>
        <v>96.717677113042981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41680371</v>
      </c>
      <c r="E113" s="204">
        <f t="shared" si="1"/>
        <v>145.28346957213185</v>
      </c>
      <c r="F113" s="231">
        <f t="shared" si="2"/>
        <v>96.855646381421238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142.00506990358346</v>
      </c>
      <c r="F115" s="233">
        <f>AVERAGE(F108:F113)</f>
        <v>94.670046602388993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1.8176407137534701E-2</v>
      </c>
      <c r="F116" s="187">
        <f>STDEV(F108:F113)/F115</f>
        <v>1.8176407137534739E-2</v>
      </c>
      <c r="I116" s="50"/>
    </row>
    <row r="117" spans="1:10" ht="27" customHeight="1" x14ac:dyDescent="0.4">
      <c r="A117" s="624" t="s">
        <v>78</v>
      </c>
      <c r="B117" s="62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26"/>
      <c r="B118" s="627"/>
      <c r="C118" s="50"/>
      <c r="D118" s="212"/>
      <c r="E118" s="652" t="s">
        <v>123</v>
      </c>
      <c r="F118" s="65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139.54448201022188</v>
      </c>
      <c r="F119" s="234">
        <f>MIN(F108:F113)</f>
        <v>93.029654673481261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145.28346957213185</v>
      </c>
      <c r="F120" s="235">
        <f>MAX(F108:F113)</f>
        <v>96.855646381421238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628" t="str">
        <f>B26</f>
        <v>Lamivudine</v>
      </c>
      <c r="D124" s="628"/>
      <c r="E124" s="150" t="s">
        <v>127</v>
      </c>
      <c r="F124" s="150"/>
      <c r="G124" s="236">
        <f>F115</f>
        <v>94.670046602388993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93.029654673481261</v>
      </c>
      <c r="E125" s="161" t="s">
        <v>130</v>
      </c>
      <c r="F125" s="236">
        <f>MAX(F108:F113)</f>
        <v>96.855646381421238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29" t="s">
        <v>26</v>
      </c>
      <c r="C127" s="629"/>
      <c r="E127" s="156" t="s">
        <v>27</v>
      </c>
      <c r="F127" s="191"/>
      <c r="G127" s="629" t="s">
        <v>28</v>
      </c>
      <c r="H127" s="62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7" zoomScale="50" zoomScaleNormal="40" zoomScalePageLayoutView="50" workbookViewId="0">
      <selection activeCell="B30" sqref="B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238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240" t="s">
        <v>33</v>
      </c>
      <c r="B18" s="654" t="s">
        <v>5</v>
      </c>
      <c r="C18" s="654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59" t="s">
        <v>133</v>
      </c>
      <c r="C20" s="65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54" t="s">
        <v>133</v>
      </c>
      <c r="C26" s="654"/>
    </row>
    <row r="27" spans="1:14" ht="26.25" customHeight="1" x14ac:dyDescent="0.4">
      <c r="A27" s="249" t="s">
        <v>48</v>
      </c>
      <c r="B27" s="660" t="s">
        <v>136</v>
      </c>
      <c r="C27" s="660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30" t="s">
        <v>50</v>
      </c>
      <c r="D29" s="631"/>
      <c r="E29" s="631"/>
      <c r="F29" s="631"/>
      <c r="G29" s="63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33" t="s">
        <v>53</v>
      </c>
      <c r="D31" s="634"/>
      <c r="E31" s="634"/>
      <c r="F31" s="634"/>
      <c r="G31" s="634"/>
      <c r="H31" s="63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33" t="s">
        <v>55</v>
      </c>
      <c r="D32" s="634"/>
      <c r="E32" s="634"/>
      <c r="F32" s="634"/>
      <c r="G32" s="634"/>
      <c r="H32" s="63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36" t="s">
        <v>59</v>
      </c>
      <c r="E36" s="661"/>
      <c r="F36" s="636" t="s">
        <v>60</v>
      </c>
      <c r="G36" s="63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38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38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24" t="s">
        <v>78</v>
      </c>
      <c r="B46" s="625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26"/>
      <c r="B47" s="627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Lamivudine USP 150MG, Nevirapine USP 200MG, Zidovudine USP 300MG</v>
      </c>
    </row>
    <row r="56" spans="1:12" ht="26.25" customHeight="1" x14ac:dyDescent="0.4">
      <c r="A56" s="317" t="s">
        <v>87</v>
      </c>
      <c r="B56" s="318">
        <v>200</v>
      </c>
      <c r="C56" s="239" t="str">
        <f>B20</f>
        <v>Nevirapine</v>
      </c>
      <c r="H56" s="319"/>
    </row>
    <row r="57" spans="1:12" ht="18.75" x14ac:dyDescent="0.3">
      <c r="A57" s="316" t="s">
        <v>88</v>
      </c>
      <c r="B57" s="387">
        <f>Uniformity!C46</f>
        <v>1132.952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641" t="s">
        <v>94</v>
      </c>
      <c r="D60" s="644">
        <v>1130.76</v>
      </c>
      <c r="E60" s="322">
        <v>1</v>
      </c>
      <c r="F60" s="323">
        <v>34519450</v>
      </c>
      <c r="G60" s="388">
        <f>IF(ISBLANK(F60),"-",(F60/$D$50*$D$47*$B$68)*($B$57/$D$60))</f>
        <v>205.54214874292006</v>
      </c>
      <c r="H60" s="406">
        <f t="shared" ref="H60:H71" si="0">IF(ISBLANK(F60),"-",(G60/$B$56)*100)</f>
        <v>102.77107437146003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642"/>
      <c r="D61" s="645"/>
      <c r="E61" s="324">
        <v>2</v>
      </c>
      <c r="F61" s="277">
        <v>34587009</v>
      </c>
      <c r="G61" s="389">
        <f>IF(ISBLANK(F61),"-",(F61/$D$50*$D$47*$B$68)*($B$57/$D$60))</f>
        <v>205.94442114375278</v>
      </c>
      <c r="H61" s="407">
        <f t="shared" si="0"/>
        <v>102.9722105718764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42"/>
      <c r="D62" s="645"/>
      <c r="E62" s="324">
        <v>3</v>
      </c>
      <c r="F62" s="325">
        <v>34626612</v>
      </c>
      <c r="G62" s="389">
        <f>IF(ISBLANK(F62),"-",(F62/$D$50*$D$47*$B$68)*($B$57/$D$60))</f>
        <v>206.18023271423451</v>
      </c>
      <c r="H62" s="407">
        <f t="shared" si="0"/>
        <v>103.09011635711724</v>
      </c>
      <c r="L62" s="252"/>
    </row>
    <row r="63" spans="1:12" ht="27" customHeight="1" x14ac:dyDescent="0.4">
      <c r="A63" s="264" t="s">
        <v>97</v>
      </c>
      <c r="B63" s="265">
        <v>1</v>
      </c>
      <c r="C63" s="651"/>
      <c r="D63" s="646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41" t="s">
        <v>99</v>
      </c>
      <c r="D64" s="644">
        <v>1141.27</v>
      </c>
      <c r="E64" s="322">
        <v>1</v>
      </c>
      <c r="F64" s="323">
        <v>35864460</v>
      </c>
      <c r="G64" s="388">
        <f>IF(ISBLANK(F64),"-",(F64/$D$50*$D$47*$B$68)*($B$57/$D$64))</f>
        <v>211.58426000165662</v>
      </c>
      <c r="H64" s="406">
        <f t="shared" si="0"/>
        <v>105.79213000082829</v>
      </c>
    </row>
    <row r="65" spans="1:8" ht="26.25" customHeight="1" x14ac:dyDescent="0.4">
      <c r="A65" s="264" t="s">
        <v>100</v>
      </c>
      <c r="B65" s="265">
        <v>1</v>
      </c>
      <c r="C65" s="642"/>
      <c r="D65" s="645"/>
      <c r="E65" s="324">
        <v>2</v>
      </c>
      <c r="F65" s="277">
        <v>35847484</v>
      </c>
      <c r="G65" s="389">
        <f>IF(ISBLANK(F65),"-",(F65/$D$50*$D$47*$B$68)*($B$57/$D$64))</f>
        <v>211.4841092006188</v>
      </c>
      <c r="H65" s="407">
        <f t="shared" si="0"/>
        <v>105.74205460030942</v>
      </c>
    </row>
    <row r="66" spans="1:8" ht="26.25" customHeight="1" x14ac:dyDescent="0.4">
      <c r="A66" s="264" t="s">
        <v>101</v>
      </c>
      <c r="B66" s="265">
        <v>1</v>
      </c>
      <c r="C66" s="642"/>
      <c r="D66" s="645"/>
      <c r="E66" s="324">
        <v>3</v>
      </c>
      <c r="F66" s="277">
        <v>36005243</v>
      </c>
      <c r="G66" s="389">
        <f>IF(ISBLANK(F66),"-",(F66/$D$50*$D$47*$B$68)*($B$57/$D$64))</f>
        <v>212.41481668300116</v>
      </c>
      <c r="H66" s="407">
        <f t="shared" si="0"/>
        <v>106.20740834150058</v>
      </c>
    </row>
    <row r="67" spans="1:8" ht="27" customHeight="1" x14ac:dyDescent="0.4">
      <c r="A67" s="264" t="s">
        <v>102</v>
      </c>
      <c r="B67" s="265">
        <v>1</v>
      </c>
      <c r="C67" s="651"/>
      <c r="D67" s="646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641" t="s">
        <v>104</v>
      </c>
      <c r="D68" s="644">
        <v>1122.53</v>
      </c>
      <c r="E68" s="322">
        <v>1</v>
      </c>
      <c r="F68" s="323">
        <v>34120131</v>
      </c>
      <c r="G68" s="388">
        <f>IF(ISBLANK(F68),"-",(F68/$D$50*$D$47*$B$68)*($B$57/$D$68))</f>
        <v>204.65398022318115</v>
      </c>
      <c r="H68" s="407">
        <f t="shared" si="0"/>
        <v>102.32699011159056</v>
      </c>
    </row>
    <row r="69" spans="1:8" ht="27" customHeight="1" x14ac:dyDescent="0.4">
      <c r="A69" s="312" t="s">
        <v>105</v>
      </c>
      <c r="B69" s="329">
        <f>(D47*B68)/B56*B57</f>
        <v>1132.952</v>
      </c>
      <c r="C69" s="642"/>
      <c r="D69" s="645"/>
      <c r="E69" s="324">
        <v>2</v>
      </c>
      <c r="F69" s="277">
        <v>33868018</v>
      </c>
      <c r="G69" s="389">
        <f>IF(ISBLANK(F69),"-",(F69/$D$50*$D$47*$B$68)*($B$57/$D$68))</f>
        <v>203.14179584979735</v>
      </c>
      <c r="H69" s="407">
        <f t="shared" si="0"/>
        <v>101.57089792489869</v>
      </c>
    </row>
    <row r="70" spans="1:8" ht="26.25" customHeight="1" x14ac:dyDescent="0.4">
      <c r="A70" s="647" t="s">
        <v>78</v>
      </c>
      <c r="B70" s="648"/>
      <c r="C70" s="642"/>
      <c r="D70" s="645"/>
      <c r="E70" s="324">
        <v>3</v>
      </c>
      <c r="F70" s="277">
        <v>34275965</v>
      </c>
      <c r="G70" s="389">
        <f>IF(ISBLANK(F70),"-",(F70/$D$50*$D$47*$B$68)*($B$57/$D$68))</f>
        <v>205.5886791067845</v>
      </c>
      <c r="H70" s="407">
        <f t="shared" si="0"/>
        <v>102.79433955339226</v>
      </c>
    </row>
    <row r="71" spans="1:8" ht="27" customHeight="1" x14ac:dyDescent="0.4">
      <c r="A71" s="649"/>
      <c r="B71" s="650"/>
      <c r="C71" s="643"/>
      <c r="D71" s="646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207.39271596288299</v>
      </c>
      <c r="H72" s="409">
        <f>AVERAGE(H60:H71)</f>
        <v>103.69635798144151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1.6646271182544404E-2</v>
      </c>
      <c r="H73" s="393">
        <f>STDEV(H60:H71)/H72</f>
        <v>1.6646271182544383E-2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628" t="str">
        <f>B26</f>
        <v>Nevirapine</v>
      </c>
      <c r="D76" s="628"/>
      <c r="E76" s="338" t="s">
        <v>108</v>
      </c>
      <c r="F76" s="338"/>
      <c r="G76" s="425">
        <f>H72</f>
        <v>103.69635798144151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62" t="str">
        <f>B26</f>
        <v>Nevirapine</v>
      </c>
      <c r="C79" s="662"/>
    </row>
    <row r="80" spans="1:8" ht="26.25" customHeight="1" x14ac:dyDescent="0.4">
      <c r="A80" s="249" t="s">
        <v>48</v>
      </c>
      <c r="B80" s="662" t="str">
        <f>B27</f>
        <v>DBH027-C16A-160912</v>
      </c>
      <c r="C80" s="662"/>
    </row>
    <row r="81" spans="1:12" ht="27" customHeight="1" x14ac:dyDescent="0.4">
      <c r="A81" s="249" t="s">
        <v>6</v>
      </c>
      <c r="B81" s="341">
        <f>B28</f>
        <v>99.7</v>
      </c>
    </row>
    <row r="82" spans="1:12" s="3" customFormat="1" ht="27" customHeight="1" x14ac:dyDescent="0.4">
      <c r="A82" s="249" t="s">
        <v>49</v>
      </c>
      <c r="B82" s="251">
        <v>0</v>
      </c>
      <c r="C82" s="630" t="s">
        <v>50</v>
      </c>
      <c r="D82" s="631"/>
      <c r="E82" s="631"/>
      <c r="F82" s="631"/>
      <c r="G82" s="63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33" t="s">
        <v>111</v>
      </c>
      <c r="D84" s="634"/>
      <c r="E84" s="634"/>
      <c r="F84" s="634"/>
      <c r="G84" s="634"/>
      <c r="H84" s="63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33" t="s">
        <v>112</v>
      </c>
      <c r="D85" s="634"/>
      <c r="E85" s="634"/>
      <c r="F85" s="634"/>
      <c r="G85" s="634"/>
      <c r="H85" s="63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636" t="s">
        <v>60</v>
      </c>
      <c r="G89" s="637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38">
        <f>ABS((F96/D96*D95)-F95)/D95</f>
        <v>2.5666607355213028E-3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38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24" t="s">
        <v>78</v>
      </c>
      <c r="B99" s="639"/>
      <c r="C99" s="355" t="s">
        <v>116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26"/>
      <c r="B100" s="640"/>
      <c r="C100" s="355" t="s">
        <v>80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37070525</v>
      </c>
      <c r="E108" s="390">
        <f t="shared" ref="E108:E113" si="1">IF(ISBLANK(D108),"-",D108/$D$103*$D$100*$B$116)</f>
        <v>198.27465264033461</v>
      </c>
      <c r="F108" s="417">
        <f t="shared" ref="F108:F113" si="2">IF(ISBLANK(D108), "-", (E108/$B$56)*100)</f>
        <v>99.137326320167304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37870399</v>
      </c>
      <c r="E109" s="391">
        <f t="shared" si="1"/>
        <v>202.55284237479441</v>
      </c>
      <c r="F109" s="418">
        <f t="shared" si="2"/>
        <v>101.27642118739722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38274368</v>
      </c>
      <c r="E110" s="391">
        <f t="shared" si="1"/>
        <v>204.71350271484795</v>
      </c>
      <c r="F110" s="418">
        <f t="shared" si="2"/>
        <v>102.35675135742397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37966274</v>
      </c>
      <c r="E111" s="391">
        <f t="shared" si="1"/>
        <v>203.06563744100652</v>
      </c>
      <c r="F111" s="418">
        <f t="shared" si="2"/>
        <v>101.53281872050326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38292437</v>
      </c>
      <c r="E112" s="391">
        <f t="shared" si="1"/>
        <v>204.81014619908666</v>
      </c>
      <c r="F112" s="418">
        <f t="shared" si="2"/>
        <v>102.40507309954332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38431459</v>
      </c>
      <c r="E113" s="392">
        <f t="shared" si="1"/>
        <v>205.55371642797778</v>
      </c>
      <c r="F113" s="419">
        <f t="shared" si="2"/>
        <v>102.7768582139889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203.16174963300799</v>
      </c>
      <c r="F115" s="421">
        <f>AVERAGE(F108:F113)</f>
        <v>101.58087481650399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1.3043399540049473E-2</v>
      </c>
      <c r="F116" s="375">
        <f>STDEV(F108:F113)/F115</f>
        <v>1.3043399540049475E-2</v>
      </c>
      <c r="I116" s="238"/>
    </row>
    <row r="117" spans="1:10" ht="27" customHeight="1" x14ac:dyDescent="0.4">
      <c r="A117" s="624" t="s">
        <v>78</v>
      </c>
      <c r="B117" s="62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26"/>
      <c r="B118" s="627"/>
      <c r="C118" s="238"/>
      <c r="D118" s="400"/>
      <c r="E118" s="652" t="s">
        <v>123</v>
      </c>
      <c r="F118" s="653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198.27465264033461</v>
      </c>
      <c r="F119" s="422">
        <f>MIN(F108:F113)</f>
        <v>99.137326320167304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205.55371642797778</v>
      </c>
      <c r="F120" s="423">
        <f>MAX(F108:F113)</f>
        <v>102.7768582139889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628" t="str">
        <f>B26</f>
        <v>Nevirapine</v>
      </c>
      <c r="D124" s="628"/>
      <c r="E124" s="338" t="s">
        <v>127</v>
      </c>
      <c r="F124" s="338"/>
      <c r="G124" s="424">
        <f>F115</f>
        <v>101.58087481650399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99.137326320167304</v>
      </c>
      <c r="E125" s="349" t="s">
        <v>130</v>
      </c>
      <c r="F125" s="424">
        <f>MAX(F108:F113)</f>
        <v>102.7768582139889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29" t="s">
        <v>26</v>
      </c>
      <c r="C127" s="629"/>
      <c r="E127" s="344" t="s">
        <v>27</v>
      </c>
      <c r="F127" s="379"/>
      <c r="G127" s="629" t="s">
        <v>28</v>
      </c>
      <c r="H127" s="629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" zoomScale="50" zoomScaleNormal="40" zoomScalePageLayoutView="50" workbookViewId="0">
      <selection activeCell="C25" sqref="C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426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428" t="s">
        <v>33</v>
      </c>
      <c r="B18" s="654" t="s">
        <v>5</v>
      </c>
      <c r="C18" s="654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59" t="s">
        <v>131</v>
      </c>
      <c r="C20" s="659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54" t="s">
        <v>131</v>
      </c>
      <c r="C26" s="654"/>
    </row>
    <row r="27" spans="1:14" ht="26.25" customHeight="1" x14ac:dyDescent="0.4">
      <c r="A27" s="437" t="s">
        <v>48</v>
      </c>
      <c r="B27" s="660" t="s">
        <v>132</v>
      </c>
      <c r="C27" s="660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>
        <v>0</v>
      </c>
      <c r="C29" s="630" t="s">
        <v>50</v>
      </c>
      <c r="D29" s="631"/>
      <c r="E29" s="631"/>
      <c r="F29" s="631"/>
      <c r="G29" s="632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33" t="s">
        <v>53</v>
      </c>
      <c r="D31" s="634"/>
      <c r="E31" s="634"/>
      <c r="F31" s="634"/>
      <c r="G31" s="634"/>
      <c r="H31" s="635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33" t="s">
        <v>55</v>
      </c>
      <c r="D32" s="634"/>
      <c r="E32" s="634"/>
      <c r="F32" s="634"/>
      <c r="G32" s="634"/>
      <c r="H32" s="635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36" t="s">
        <v>59</v>
      </c>
      <c r="E36" s="661"/>
      <c r="F36" s="636" t="s">
        <v>60</v>
      </c>
      <c r="G36" s="637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38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38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24" t="s">
        <v>78</v>
      </c>
      <c r="B46" s="625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26"/>
      <c r="B47" s="627"/>
      <c r="C47" s="490" t="s">
        <v>80</v>
      </c>
      <c r="D47" s="491">
        <v>0.3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30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 Lamivudine USP 150MG, Nevirapine USP 200MG, Zidovudine USP 300MG</v>
      </c>
    </row>
    <row r="56" spans="1:12" ht="26.25" customHeight="1" x14ac:dyDescent="0.4">
      <c r="A56" s="505" t="s">
        <v>87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1132.952</v>
      </c>
      <c r="H57" s="507"/>
    </row>
    <row r="58" spans="1:12" ht="19.5" customHeight="1" x14ac:dyDescent="0.3">
      <c r="H58" s="507"/>
    </row>
    <row r="59" spans="1:12" s="3" customFormat="1" ht="27" customHeight="1" thickBot="1" x14ac:dyDescent="0.45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10</v>
      </c>
      <c r="C60" s="641" t="s">
        <v>94</v>
      </c>
      <c r="D60" s="644">
        <v>1130.76</v>
      </c>
      <c r="E60" s="510">
        <v>1</v>
      </c>
      <c r="F60" s="511">
        <v>64181720</v>
      </c>
      <c r="G60" s="576">
        <f>IF(ISBLANK(F60),"-",(F60/$D$50*$D$47*$B$68)*($B$57/$D$60))</f>
        <v>284.06800288382163</v>
      </c>
      <c r="H60" s="594">
        <f t="shared" ref="H60:H71" si="0">IF(ISBLANK(F60),"-",(G60/$B$56)*100)</f>
        <v>94.689334294607207</v>
      </c>
      <c r="L60" s="440"/>
    </row>
    <row r="61" spans="1:12" s="3" customFormat="1" ht="26.25" customHeight="1" x14ac:dyDescent="0.4">
      <c r="A61" s="452" t="s">
        <v>95</v>
      </c>
      <c r="B61" s="453">
        <v>100</v>
      </c>
      <c r="C61" s="642"/>
      <c r="D61" s="645"/>
      <c r="E61" s="512">
        <v>2</v>
      </c>
      <c r="F61" s="465">
        <v>64315206</v>
      </c>
      <c r="G61" s="577">
        <f>IF(ISBLANK(F61),"-",(F61/$D$50*$D$47*$B$68)*($B$57/$D$60))</f>
        <v>284.6588113170165</v>
      </c>
      <c r="H61" s="595">
        <f t="shared" si="0"/>
        <v>94.8862704390055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42"/>
      <c r="D62" s="645"/>
      <c r="E62" s="512">
        <v>3</v>
      </c>
      <c r="F62" s="513">
        <v>64407075</v>
      </c>
      <c r="G62" s="577">
        <f>IF(ISBLANK(F62),"-",(F62/$D$50*$D$47*$B$68)*($B$57/$D$60))</f>
        <v>285.06542309614827</v>
      </c>
      <c r="H62" s="595">
        <f t="shared" si="0"/>
        <v>95.021807698716088</v>
      </c>
      <c r="L62" s="440"/>
    </row>
    <row r="63" spans="1:12" ht="27" customHeight="1" thickBot="1" x14ac:dyDescent="0.45">
      <c r="A63" s="452" t="s">
        <v>97</v>
      </c>
      <c r="B63" s="453">
        <v>1</v>
      </c>
      <c r="C63" s="651"/>
      <c r="D63" s="646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41" t="s">
        <v>99</v>
      </c>
      <c r="D64" s="644">
        <v>1141.27</v>
      </c>
      <c r="E64" s="510">
        <v>1</v>
      </c>
      <c r="F64" s="511">
        <v>65270665</v>
      </c>
      <c r="G64" s="576">
        <f>IF(ISBLANK(F64),"-",(F64/$D$50*$D$47*$B$68)*($B$57/$D$64))</f>
        <v>286.22729071481336</v>
      </c>
      <c r="H64" s="594">
        <f t="shared" si="0"/>
        <v>95.409096904937783</v>
      </c>
    </row>
    <row r="65" spans="1:8" ht="26.25" customHeight="1" x14ac:dyDescent="0.4">
      <c r="A65" s="452" t="s">
        <v>100</v>
      </c>
      <c r="B65" s="453">
        <v>1</v>
      </c>
      <c r="C65" s="642"/>
      <c r="D65" s="645"/>
      <c r="E65" s="512">
        <v>2</v>
      </c>
      <c r="F65" s="465">
        <v>65278752</v>
      </c>
      <c r="G65" s="577">
        <f>IF(ISBLANK(F65),"-",(F65/$D$50*$D$47*$B$68)*($B$57/$D$64))</f>
        <v>286.26275412092406</v>
      </c>
      <c r="H65" s="595">
        <f t="shared" si="0"/>
        <v>95.420918040308024</v>
      </c>
    </row>
    <row r="66" spans="1:8" ht="26.25" customHeight="1" x14ac:dyDescent="0.4">
      <c r="A66" s="452" t="s">
        <v>101</v>
      </c>
      <c r="B66" s="453">
        <v>1</v>
      </c>
      <c r="C66" s="642"/>
      <c r="D66" s="645"/>
      <c r="E66" s="512">
        <v>3</v>
      </c>
      <c r="F66" s="465">
        <v>65649212</v>
      </c>
      <c r="G66" s="577">
        <f>IF(ISBLANK(F66),"-",(F66/$D$50*$D$47*$B$68)*($B$57/$D$64))</f>
        <v>287.88730876761269</v>
      </c>
      <c r="H66" s="595">
        <f t="shared" si="0"/>
        <v>95.962436255870898</v>
      </c>
    </row>
    <row r="67" spans="1:8" ht="27" customHeight="1" thickBot="1" x14ac:dyDescent="0.45">
      <c r="A67" s="452" t="s">
        <v>102</v>
      </c>
      <c r="B67" s="453">
        <v>1</v>
      </c>
      <c r="C67" s="651"/>
      <c r="D67" s="646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1000</v>
      </c>
      <c r="C68" s="641" t="s">
        <v>104</v>
      </c>
      <c r="D68" s="644">
        <v>1122.53</v>
      </c>
      <c r="E68" s="510">
        <v>1</v>
      </c>
      <c r="F68" s="511">
        <v>63895013</v>
      </c>
      <c r="G68" s="576">
        <f>IF(ISBLANK(F68),"-",(F68/$D$50*$D$47*$B$68)*($B$57/$D$68))</f>
        <v>284.87242330783312</v>
      </c>
      <c r="H68" s="595">
        <f t="shared" si="0"/>
        <v>94.957474435944363</v>
      </c>
    </row>
    <row r="69" spans="1:8" ht="27" customHeight="1" thickBot="1" x14ac:dyDescent="0.45">
      <c r="A69" s="500" t="s">
        <v>105</v>
      </c>
      <c r="B69" s="517">
        <f>(D47*B68)/B56*B57</f>
        <v>1132.952</v>
      </c>
      <c r="C69" s="642"/>
      <c r="D69" s="645"/>
      <c r="E69" s="512">
        <v>2</v>
      </c>
      <c r="F69" s="465">
        <v>63416144</v>
      </c>
      <c r="G69" s="577">
        <f>IF(ISBLANK(F69),"-",(F69/$D$50*$D$47*$B$68)*($B$57/$D$68))</f>
        <v>282.7374120436989</v>
      </c>
      <c r="H69" s="595">
        <f t="shared" si="0"/>
        <v>94.245804014566303</v>
      </c>
    </row>
    <row r="70" spans="1:8" ht="26.25" customHeight="1" x14ac:dyDescent="0.4">
      <c r="A70" s="647" t="s">
        <v>78</v>
      </c>
      <c r="B70" s="648"/>
      <c r="C70" s="642"/>
      <c r="D70" s="645"/>
      <c r="E70" s="512">
        <v>3</v>
      </c>
      <c r="F70" s="465">
        <v>64007509</v>
      </c>
      <c r="G70" s="577">
        <f>IF(ISBLANK(F70),"-",(F70/$D$50*$D$47*$B$68)*($B$57/$D$68))</f>
        <v>285.37398057541571</v>
      </c>
      <c r="H70" s="595">
        <f t="shared" si="0"/>
        <v>95.124660191805248</v>
      </c>
    </row>
    <row r="71" spans="1:8" ht="27" customHeight="1" thickBot="1" x14ac:dyDescent="0.45">
      <c r="A71" s="649"/>
      <c r="B71" s="650"/>
      <c r="C71" s="643"/>
      <c r="D71" s="646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285.23926742525379</v>
      </c>
      <c r="H72" s="597">
        <f>AVERAGE(H60:H71)</f>
        <v>95.079755808417929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5.1385888132684035E-3</v>
      </c>
      <c r="H73" s="581">
        <f>STDEV(H60:H71)/H72</f>
        <v>5.1385888132684026E-3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628" t="str">
        <f>B26</f>
        <v>Zidovudine</v>
      </c>
      <c r="D76" s="628"/>
      <c r="E76" s="526" t="s">
        <v>108</v>
      </c>
      <c r="F76" s="526"/>
      <c r="G76" s="613">
        <f>H72</f>
        <v>95.079755808417929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62" t="str">
        <f>B26</f>
        <v>Zidovudine</v>
      </c>
      <c r="C79" s="662"/>
    </row>
    <row r="80" spans="1:8" ht="26.25" customHeight="1" x14ac:dyDescent="0.4">
      <c r="A80" s="437" t="s">
        <v>48</v>
      </c>
      <c r="B80" s="662" t="str">
        <f>B27</f>
        <v>Z1-3</v>
      </c>
      <c r="C80" s="662"/>
    </row>
    <row r="81" spans="1:12" ht="27" customHeight="1" x14ac:dyDescent="0.4">
      <c r="A81" s="437" t="s">
        <v>6</v>
      </c>
      <c r="B81" s="529">
        <f>B28</f>
        <v>99.65</v>
      </c>
    </row>
    <row r="82" spans="1:12" s="3" customFormat="1" ht="27" customHeight="1" x14ac:dyDescent="0.4">
      <c r="A82" s="437" t="s">
        <v>49</v>
      </c>
      <c r="B82" s="439">
        <v>0</v>
      </c>
      <c r="C82" s="630" t="s">
        <v>50</v>
      </c>
      <c r="D82" s="631"/>
      <c r="E82" s="631"/>
      <c r="F82" s="631"/>
      <c r="G82" s="632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33" t="s">
        <v>111</v>
      </c>
      <c r="D84" s="634"/>
      <c r="E84" s="634"/>
      <c r="F84" s="634"/>
      <c r="G84" s="634"/>
      <c r="H84" s="635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33" t="s">
        <v>112</v>
      </c>
      <c r="D85" s="634"/>
      <c r="E85" s="634"/>
      <c r="F85" s="634"/>
      <c r="G85" s="634"/>
      <c r="H85" s="635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20</v>
      </c>
      <c r="D89" s="530" t="s">
        <v>59</v>
      </c>
      <c r="E89" s="531"/>
      <c r="F89" s="636" t="s">
        <v>60</v>
      </c>
      <c r="G89" s="637"/>
    </row>
    <row r="90" spans="1:12" ht="27" customHeight="1" x14ac:dyDescent="0.4">
      <c r="A90" s="452" t="s">
        <v>61</v>
      </c>
      <c r="B90" s="453">
        <v>4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38">
        <f>ABS((F96/D96*D95)-F95)/D95</f>
        <v>4.7255270450369483E-3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38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76</v>
      </c>
      <c r="B98" s="545">
        <f>(B97/B96)*(B95/B94)*(B93/B92)*(B91/B90)*B89</f>
        <v>100</v>
      </c>
      <c r="C98" s="543" t="s">
        <v>115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24" t="s">
        <v>78</v>
      </c>
      <c r="B99" s="639"/>
      <c r="C99" s="543" t="s">
        <v>116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26"/>
      <c r="B100" s="640"/>
      <c r="C100" s="543" t="s">
        <v>80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900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69893446</v>
      </c>
      <c r="E108" s="578">
        <f t="shared" ref="E108:E113" si="1">IF(ISBLANK(D108),"-",D108/$D$103*$D$100*$B$116)</f>
        <v>277.87460346853584</v>
      </c>
      <c r="F108" s="605">
        <f t="shared" ref="F108:F113" si="2">IF(ISBLANK(D108), "-", (E108/$B$56)*100)</f>
        <v>92.624867822845275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69825957</v>
      </c>
      <c r="E109" s="579">
        <f t="shared" si="1"/>
        <v>277.6062881945474</v>
      </c>
      <c r="F109" s="606">
        <f t="shared" si="2"/>
        <v>92.535429398182472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70526634</v>
      </c>
      <c r="E110" s="579">
        <f t="shared" si="1"/>
        <v>280.39196202631871</v>
      </c>
      <c r="F110" s="606">
        <f t="shared" si="2"/>
        <v>93.463987342106236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70320682</v>
      </c>
      <c r="E111" s="579">
        <f t="shared" si="1"/>
        <v>279.57316092823652</v>
      </c>
      <c r="F111" s="606">
        <f t="shared" si="2"/>
        <v>93.191053642745501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72494989</v>
      </c>
      <c r="E112" s="579">
        <f t="shared" si="1"/>
        <v>288.21752932071581</v>
      </c>
      <c r="F112" s="606">
        <f t="shared" si="2"/>
        <v>96.072509773571937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72811264</v>
      </c>
      <c r="E113" s="580">
        <f t="shared" si="1"/>
        <v>289.47494035482066</v>
      </c>
      <c r="F113" s="607">
        <f t="shared" si="2"/>
        <v>96.491646784940215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282.18974738219578</v>
      </c>
      <c r="F115" s="609">
        <f>AVERAGE(F108:F113)</f>
        <v>94.063249127398606</v>
      </c>
    </row>
    <row r="116" spans="1:10" ht="27" customHeight="1" x14ac:dyDescent="0.4">
      <c r="A116" s="452" t="s">
        <v>103</v>
      </c>
      <c r="B116" s="484">
        <f>(B115/B114)*(B113/B112)*(B111/B110)*(B109/B108)*B107</f>
        <v>900</v>
      </c>
      <c r="C116" s="562"/>
      <c r="D116" s="586" t="s">
        <v>84</v>
      </c>
      <c r="E116" s="584">
        <f>STDEV(E108:E113)/E115</f>
        <v>1.8692235191215132E-2</v>
      </c>
      <c r="F116" s="563">
        <f>STDEV(F108:F113)/F115</f>
        <v>1.8692235191215118E-2</v>
      </c>
      <c r="I116" s="426"/>
    </row>
    <row r="117" spans="1:10" ht="27" customHeight="1" x14ac:dyDescent="0.4">
      <c r="A117" s="624" t="s">
        <v>78</v>
      </c>
      <c r="B117" s="625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26"/>
      <c r="B118" s="627"/>
      <c r="C118" s="426"/>
      <c r="D118" s="588"/>
      <c r="E118" s="652" t="s">
        <v>123</v>
      </c>
      <c r="F118" s="653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277.6062881945474</v>
      </c>
      <c r="F119" s="610">
        <f>MIN(F108:F113)</f>
        <v>92.535429398182472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289.47494035482066</v>
      </c>
      <c r="F120" s="611">
        <f>MAX(F108:F113)</f>
        <v>96.491646784940215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628" t="str">
        <f>B26</f>
        <v>Zidovudine</v>
      </c>
      <c r="D124" s="628"/>
      <c r="E124" s="526" t="s">
        <v>127</v>
      </c>
      <c r="F124" s="526"/>
      <c r="G124" s="612">
        <f>F115</f>
        <v>94.063249127398606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92.535429398182472</v>
      </c>
      <c r="E125" s="537" t="s">
        <v>130</v>
      </c>
      <c r="F125" s="612">
        <f>MAX(F108:F113)</f>
        <v>96.491646784940215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29" t="s">
        <v>26</v>
      </c>
      <c r="C127" s="629"/>
      <c r="E127" s="532" t="s">
        <v>27</v>
      </c>
      <c r="F127" s="567"/>
      <c r="G127" s="629" t="s">
        <v>28</v>
      </c>
      <c r="H127" s="629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Zidovudine</vt:lpstr>
      <vt:lpstr>SST Nevirapine</vt:lpstr>
      <vt:lpstr>SST Lamivudine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2017-09-01T08:01:49Z</cp:lastPrinted>
  <dcterms:created xsi:type="dcterms:W3CDTF">2005-07-05T10:19:27Z</dcterms:created>
  <dcterms:modified xsi:type="dcterms:W3CDTF">2017-09-01T10:13:25Z</dcterms:modified>
</cp:coreProperties>
</file>