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SST Lamivudine" sheetId="7" r:id="rId1"/>
    <sheet name="SST TDF" sheetId="8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4">Lamivudine!$A$1:$I$129</definedName>
    <definedName name="_xlnm.Print_Area" localSheetId="1">'SST TDF'!$A$15:$H$61</definedName>
    <definedName name="_xlnm.Print_Area" localSheetId="3">'Tenofovir Disoproxil Fumarate'!$A$1:$I$129</definedName>
    <definedName name="_xlnm.Print_Area" localSheetId="2">Uniformity!$A$12:$J$54</definedName>
  </definedNames>
  <calcPr calcId="145621"/>
</workbook>
</file>

<file path=xl/calcChain.xml><?xml version="1.0" encoding="utf-8"?>
<calcChain xmlns="http://schemas.openxmlformats.org/spreadsheetml/2006/main">
  <c r="B53" i="8" l="1"/>
  <c r="F51" i="8"/>
  <c r="E51" i="8"/>
  <c r="D51" i="8"/>
  <c r="C51" i="8"/>
  <c r="B51" i="8"/>
  <c r="B52" i="8" s="1"/>
  <c r="B42" i="8"/>
  <c r="B32" i="8"/>
  <c r="F30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C124" i="4" l="1"/>
  <c r="B116" i="4"/>
  <c r="D100" i="4" s="1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F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C19" i="2"/>
  <c r="D25" i="2" l="1"/>
  <c r="D29" i="2"/>
  <c r="D33" i="2"/>
  <c r="D45" i="3"/>
  <c r="I92" i="4"/>
  <c r="D101" i="4"/>
  <c r="G94" i="4" s="1"/>
  <c r="F99" i="4"/>
  <c r="D101" i="3"/>
  <c r="I92" i="3"/>
  <c r="I39" i="3"/>
  <c r="D102" i="3"/>
  <c r="F44" i="3"/>
  <c r="F45" i="3" s="1"/>
  <c r="G41" i="3" s="1"/>
  <c r="D49" i="3"/>
  <c r="D44" i="4"/>
  <c r="D45" i="4" s="1"/>
  <c r="F45" i="4"/>
  <c r="G38" i="4" s="1"/>
  <c r="E38" i="3"/>
  <c r="D46" i="3"/>
  <c r="E39" i="3"/>
  <c r="D98" i="3"/>
  <c r="F46" i="4"/>
  <c r="F98" i="3"/>
  <c r="G93" i="3" s="1"/>
  <c r="B69" i="4"/>
  <c r="D27" i="2"/>
  <c r="D31" i="2"/>
  <c r="D35" i="2"/>
  <c r="D39" i="2"/>
  <c r="D43" i="2"/>
  <c r="C49" i="2"/>
  <c r="D97" i="4"/>
  <c r="D98" i="4" s="1"/>
  <c r="D99" i="4" s="1"/>
  <c r="D24" i="2"/>
  <c r="D28" i="2"/>
  <c r="D32" i="2"/>
  <c r="D36" i="2"/>
  <c r="D40" i="2"/>
  <c r="D49" i="2"/>
  <c r="E41" i="3"/>
  <c r="B57" i="3"/>
  <c r="B69" i="3" s="1"/>
  <c r="D49" i="4"/>
  <c r="D37" i="2"/>
  <c r="D41" i="2"/>
  <c r="C50" i="2"/>
  <c r="D26" i="2"/>
  <c r="D30" i="2"/>
  <c r="D34" i="2"/>
  <c r="D38" i="2"/>
  <c r="D42" i="2"/>
  <c r="B49" i="2"/>
  <c r="D50" i="2"/>
  <c r="E40" i="3"/>
  <c r="G92" i="4" l="1"/>
  <c r="G91" i="4"/>
  <c r="G93" i="4"/>
  <c r="D102" i="4"/>
  <c r="G39" i="3"/>
  <c r="G40" i="3"/>
  <c r="F46" i="3"/>
  <c r="G38" i="3"/>
  <c r="D46" i="4"/>
  <c r="E39" i="4"/>
  <c r="E38" i="4"/>
  <c r="E40" i="4"/>
  <c r="E41" i="4"/>
  <c r="G41" i="4"/>
  <c r="G40" i="4"/>
  <c r="G39" i="4"/>
  <c r="E92" i="4"/>
  <c r="E94" i="4"/>
  <c r="D99" i="3"/>
  <c r="E93" i="3"/>
  <c r="E94" i="3"/>
  <c r="E93" i="4"/>
  <c r="G91" i="3"/>
  <c r="F99" i="3"/>
  <c r="E92" i="3"/>
  <c r="G94" i="3"/>
  <c r="E91" i="4"/>
  <c r="E91" i="3"/>
  <c r="G92" i="3"/>
  <c r="E42" i="3"/>
  <c r="G95" i="4" l="1"/>
  <c r="G42" i="3"/>
  <c r="D50" i="3"/>
  <c r="G69" i="3" s="1"/>
  <c r="H69" i="3" s="1"/>
  <c r="D52" i="3"/>
  <c r="G95" i="3"/>
  <c r="E42" i="4"/>
  <c r="D50" i="4"/>
  <c r="G70" i="4" s="1"/>
  <c r="H70" i="4" s="1"/>
  <c r="D52" i="4"/>
  <c r="G42" i="4"/>
  <c r="E95" i="3"/>
  <c r="D105" i="3"/>
  <c r="D103" i="3"/>
  <c r="D103" i="4"/>
  <c r="E95" i="4"/>
  <c r="D105" i="4"/>
  <c r="G60" i="3" l="1"/>
  <c r="H60" i="3" s="1"/>
  <c r="D51" i="3"/>
  <c r="G65" i="3"/>
  <c r="H65" i="3" s="1"/>
  <c r="G66" i="3"/>
  <c r="H66" i="3" s="1"/>
  <c r="G63" i="3"/>
  <c r="H63" i="3" s="1"/>
  <c r="G64" i="3"/>
  <c r="H64" i="3" s="1"/>
  <c r="G61" i="3"/>
  <c r="H61" i="3" s="1"/>
  <c r="G70" i="3"/>
  <c r="H70" i="3" s="1"/>
  <c r="G62" i="3"/>
  <c r="H62" i="3" s="1"/>
  <c r="G68" i="3"/>
  <c r="H68" i="3" s="1"/>
  <c r="G67" i="3"/>
  <c r="H67" i="3" s="1"/>
  <c r="G71" i="3"/>
  <c r="H71" i="3" s="1"/>
  <c r="D51" i="4"/>
  <c r="G62" i="4"/>
  <c r="H62" i="4" s="1"/>
  <c r="G69" i="4"/>
  <c r="H69" i="4" s="1"/>
  <c r="G68" i="4"/>
  <c r="H68" i="4" s="1"/>
  <c r="G63" i="4"/>
  <c r="H63" i="4" s="1"/>
  <c r="G64" i="4"/>
  <c r="H64" i="4" s="1"/>
  <c r="G65" i="4"/>
  <c r="H65" i="4" s="1"/>
  <c r="G60" i="4"/>
  <c r="H60" i="4" s="1"/>
  <c r="G71" i="4"/>
  <c r="H71" i="4" s="1"/>
  <c r="G67" i="4"/>
  <c r="H67" i="4" s="1"/>
  <c r="G66" i="4"/>
  <c r="H66" i="4" s="1"/>
  <c r="G61" i="4"/>
  <c r="H61" i="4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4" i="3" l="1"/>
  <c r="G72" i="3"/>
  <c r="G73" i="3" s="1"/>
  <c r="G74" i="4"/>
  <c r="G72" i="4"/>
  <c r="G73" i="4" s="1"/>
  <c r="E115" i="3"/>
  <c r="E116" i="3" s="1"/>
  <c r="E119" i="3"/>
  <c r="E120" i="3"/>
  <c r="E117" i="3"/>
  <c r="F108" i="3"/>
  <c r="E120" i="4"/>
  <c r="E117" i="4"/>
  <c r="F108" i="4"/>
  <c r="E115" i="4"/>
  <c r="E116" i="4" s="1"/>
  <c r="E119" i="4"/>
  <c r="H74" i="4"/>
  <c r="H72" i="4"/>
  <c r="H74" i="3"/>
  <c r="H72" i="3"/>
  <c r="F119" i="3" l="1"/>
  <c r="F125" i="3"/>
  <c r="F120" i="3"/>
  <c r="F117" i="3"/>
  <c r="D125" i="3"/>
  <c r="F115" i="3"/>
  <c r="G76" i="4"/>
  <c r="H73" i="4"/>
  <c r="F125" i="4"/>
  <c r="F120" i="4"/>
  <c r="F117" i="4"/>
  <c r="D125" i="4"/>
  <c r="F115" i="4"/>
  <c r="F119" i="4"/>
  <c r="G76" i="3"/>
  <c r="H73" i="3"/>
  <c r="G124" i="3" l="1"/>
  <c r="F116" i="3"/>
  <c r="G124" i="4"/>
  <c r="F116" i="4"/>
</calcChain>
</file>

<file path=xl/sharedStrings.xml><?xml version="1.0" encoding="utf-8"?>
<sst xmlns="http://schemas.openxmlformats.org/spreadsheetml/2006/main" count="454" uniqueCount="142">
  <si>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</si>
  <si>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</si>
  <si>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</si>
  <si>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</si>
  <si>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</si>
  <si>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</si>
  <si>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</si>
  <si>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NDQB201707067</t>
  </si>
  <si>
    <t>Weight (mg):</t>
  </si>
  <si>
    <t>Lamivudine and Tenofovir Disoproxil Fumarate</t>
  </si>
  <si>
    <t>Standard Conc (mg/mL):</t>
  </si>
  <si>
    <t>Each FILM COATED tablet contains Lamivudine 300mg and Tenofovir Disoproxil Fumarate 300mg</t>
  </si>
  <si>
    <t>2017-07-20 11:48:59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</si>
  <si>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</si>
  <si>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</si>
  <si>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</si>
  <si>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</si>
  <si>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</si>
  <si>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</si>
  <si>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</si>
  <si>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</si>
  <si>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</si>
  <si>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</si>
  <si>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</si>
  <si>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</si>
  <si>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</si>
  <si>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</si>
  <si>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</si>
  <si>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</si>
  <si>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</si>
  <si>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</si>
  <si>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</si>
  <si>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</si>
  <si>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</si>
  <si>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</si>
  <si>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</si>
  <si>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</si>
  <si>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</si>
  <si>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</si>
  <si>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</si>
  <si>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</si>
  <si>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</si>
  <si>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</si>
  <si>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</si>
  <si>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</si>
  <si>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</si>
  <si>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</si>
  <si>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</si>
  <si>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</si>
  <si>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</si>
  <si>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</si>
  <si>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</si>
  <si>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</si>
  <si>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</si>
  <si>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</si>
  <si>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</si>
  <si>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</si>
  <si>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</si>
  <si>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</si>
  <si>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</si>
  <si>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</si>
  <si>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</si>
  <si>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</si>
  <si>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</si>
  <si>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</si>
  <si>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</si>
  <si>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</si>
  <si>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</si>
  <si>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</si>
  <si>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</si>
  <si>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</si>
  <si>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</si>
  <si>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</si>
  <si>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</si>
  <si>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</si>
  <si>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</si>
  <si>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</si>
  <si>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</si>
  <si>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</si>
  <si>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</si>
  <si>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</si>
  <si>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</si>
  <si>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</si>
  <si>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</si>
  <si>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</si>
  <si>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</si>
  <si>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</si>
  <si>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</si>
  <si>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</si>
  <si>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</si>
  <si>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</si>
  <si>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</si>
  <si>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</si>
  <si>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</si>
  <si>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</si>
  <si>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</si>
  <si>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</si>
  <si>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</si>
  <si>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</si>
  <si>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</si>
  <si>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</si>
  <si>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</si>
  <si>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</si>
  <si>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</si>
  <si>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</si>
  <si>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</si>
  <si>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</si>
  <si>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</si>
  <si>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</si>
  <si>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</si>
  <si>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</si>
  <si>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</si>
  <si>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</si>
  <si>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</si>
  <si>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</si>
  <si>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</si>
  <si>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</si>
  <si>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</si>
  <si>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</si>
  <si>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</si>
  <si>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</si>
  <si>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</si>
  <si>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</si>
  <si>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</si>
  <si>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</si>
  <si>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</si>
  <si>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</si>
  <si>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</si>
  <si>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T11-10</t>
  </si>
  <si>
    <t>Lamivudine</t>
  </si>
  <si>
    <t>L3-10</t>
  </si>
  <si>
    <t>Tenofovir Disoproxil Fumarate</t>
  </si>
  <si>
    <r>
      <t xml:space="preserve">Each </t>
    </r>
    <r>
      <rPr>
        <sz val="22"/>
        <color rgb="FF000000"/>
        <rFont val="Book Antiqua"/>
        <family val="1"/>
      </rPr>
      <t>FILM COATED</t>
    </r>
    <r>
      <rPr>
        <sz val="20"/>
        <color rgb="FF000000"/>
        <rFont val="Book Antiqua"/>
      </rPr>
      <t xml:space="preserve"> tablet contains Lamivudine 300mg and Tenofovir Disoproxil Fumarate 300mg</t>
    </r>
  </si>
  <si>
    <t>TENOFOVIR DISOPROXIL FUMARATE/  LAMIVUDINE/ EFAVIRENZ  TABLETS 300 MG/300 MG /600 MG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</si>
  <si>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</si>
  <si>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</si>
  <si>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</si>
  <si>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Lamivudine </t>
  </si>
  <si>
    <t>RUTTO KENNEDY</t>
  </si>
  <si>
    <t xml:space="preserve">                         Tenofovir Disoproxil Fumarate </t>
  </si>
  <si>
    <t>Resolution(USP)</t>
  </si>
  <si>
    <t>The number of Theoretical Plates (USP) for all peaks should be NLT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</si>
</sst>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3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20"/>
      <color rgb="FF000000"/>
      <name val="Book Antiqua"/>
      <family val="1"/>
    </font>
    <font>
      <sz val="22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6" fillId="2" borderId="0"/>
    <xf numFmtId="0" fontId="34" fillId="2" borderId="0"/>
  </cellStyleXfs>
  <cellXfs count="5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2" fontId="10" fillId="2" borderId="13" xfId="0" applyNumberFormat="1" applyFont="1" applyFill="1" applyBorder="1" applyAlignment="1">
      <alignment horizontal="center" vertical="center"/>
    </xf>
    <xf numFmtId="172" fontId="10" fillId="2" borderId="14" xfId="0" applyNumberFormat="1" applyFont="1" applyFill="1" applyBorder="1" applyAlignment="1">
      <alignment horizontal="center" vertical="center"/>
    </xf>
    <xf numFmtId="172" fontId="10" fillId="2" borderId="15" xfId="0" applyNumberFormat="1" applyFont="1" applyFill="1" applyBorder="1" applyAlignment="1">
      <alignment horizontal="center" vertical="center"/>
    </xf>
    <xf numFmtId="172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2" fontId="10" fillId="2" borderId="22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2" fontId="10" fillId="2" borderId="44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3" fontId="12" fillId="7" borderId="52" xfId="0" applyNumberFormat="1" applyFont="1" applyFill="1" applyBorder="1" applyAlignment="1">
      <alignment horizontal="center"/>
    </xf>
    <xf numFmtId="173" fontId="12" fillId="6" borderId="54" xfId="0" applyNumberFormat="1" applyFont="1" applyFill="1" applyBorder="1" applyAlignment="1">
      <alignment horizontal="center"/>
    </xf>
    <xf numFmtId="173" fontId="12" fillId="7" borderId="46" xfId="0" applyNumberFormat="1" applyFont="1" applyFill="1" applyBorder="1" applyAlignment="1">
      <alignment horizontal="center"/>
    </xf>
    <xf numFmtId="174" fontId="19" fillId="2" borderId="0" xfId="0" applyNumberFormat="1" applyFont="1" applyFill="1" applyAlignment="1">
      <alignment horizontal="center"/>
    </xf>
    <xf numFmtId="173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0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2" fontId="10" fillId="2" borderId="13" xfId="0" applyNumberFormat="1" applyFont="1" applyFill="1" applyBorder="1" applyAlignment="1">
      <alignment horizontal="center" vertical="center"/>
    </xf>
    <xf numFmtId="172" fontId="10" fillId="2" borderId="14" xfId="0" applyNumberFormat="1" applyFont="1" applyFill="1" applyBorder="1" applyAlignment="1">
      <alignment horizontal="center" vertical="center"/>
    </xf>
    <xf numFmtId="172" fontId="10" fillId="2" borderId="15" xfId="0" applyNumberFormat="1" applyFont="1" applyFill="1" applyBorder="1" applyAlignment="1">
      <alignment horizontal="center" vertical="center"/>
    </xf>
    <xf numFmtId="172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2" fontId="10" fillId="2" borderId="22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2" fontId="10" fillId="2" borderId="44" xfId="0" applyNumberFormat="1" applyFont="1" applyFill="1" applyBorder="1" applyAlignment="1">
      <alignment horizontal="center"/>
    </xf>
    <xf numFmtId="172" fontId="10" fillId="2" borderId="24" xfId="0" applyNumberFormat="1" applyFont="1" applyFill="1" applyBorder="1" applyAlignment="1">
      <alignment horizontal="center"/>
    </xf>
    <xf numFmtId="173" fontId="12" fillId="7" borderId="52" xfId="0" applyNumberFormat="1" applyFont="1" applyFill="1" applyBorder="1" applyAlignment="1">
      <alignment horizontal="center"/>
    </xf>
    <xf numFmtId="173" fontId="12" fillId="6" borderId="54" xfId="0" applyNumberFormat="1" applyFont="1" applyFill="1" applyBorder="1" applyAlignment="1">
      <alignment horizontal="center"/>
    </xf>
    <xf numFmtId="173" fontId="12" fillId="7" borderId="46" xfId="0" applyNumberFormat="1" applyFont="1" applyFill="1" applyBorder="1" applyAlignment="1">
      <alignment horizontal="center"/>
    </xf>
    <xf numFmtId="174" fontId="19" fillId="2" borderId="0" xfId="0" applyNumberFormat="1" applyFont="1" applyFill="1" applyAlignment="1">
      <alignment horizontal="center"/>
    </xf>
    <xf numFmtId="173" fontId="12" fillId="2" borderId="0" xfId="0" applyNumberFormat="1" applyFont="1" applyFill="1" applyAlignment="1">
      <alignment horizontal="center"/>
    </xf>
    <xf numFmtId="0" fontId="27" fillId="2" borderId="0" xfId="1" applyFont="1" applyFill="1"/>
    <xf numFmtId="0" fontId="28" fillId="2" borderId="0" xfId="1" applyFont="1" applyFill="1"/>
    <xf numFmtId="0" fontId="28" fillId="2" borderId="0" xfId="1" applyFont="1" applyFill="1" applyAlignment="1">
      <alignment horizontal="right"/>
    </xf>
    <xf numFmtId="0" fontId="30" fillId="2" borderId="0" xfId="1" applyFont="1" applyFill="1"/>
    <xf numFmtId="0" fontId="30" fillId="2" borderId="0" xfId="1" applyFont="1" applyFill="1" applyAlignment="1">
      <alignment horizontal="left"/>
    </xf>
    <xf numFmtId="0" fontId="31" fillId="2" borderId="0" xfId="1" applyFont="1" applyFill="1" applyAlignment="1">
      <alignment horizontal="left"/>
    </xf>
    <xf numFmtId="0" fontId="31" fillId="2" borderId="0" xfId="1" applyFont="1" applyFill="1" applyAlignment="1">
      <alignment horizontal="center"/>
    </xf>
    <xf numFmtId="0" fontId="32" fillId="2" borderId="0" xfId="1" applyFont="1" applyFill="1"/>
    <xf numFmtId="0" fontId="31" fillId="2" borderId="0" xfId="1" applyFont="1" applyFill="1"/>
    <xf numFmtId="2" fontId="31" fillId="2" borderId="0" xfId="1" applyNumberFormat="1" applyFont="1" applyFill="1" applyAlignment="1">
      <alignment horizontal="center"/>
    </xf>
    <xf numFmtId="164" fontId="31" fillId="2" borderId="0" xfId="1" applyNumberFormat="1" applyFont="1" applyFill="1" applyAlignment="1">
      <alignment horizontal="center"/>
    </xf>
    <xf numFmtId="0" fontId="31" fillId="2" borderId="1" xfId="1" applyFont="1" applyFill="1" applyBorder="1" applyAlignment="1">
      <alignment horizontal="center"/>
    </xf>
    <xf numFmtId="0" fontId="31" fillId="2" borderId="2" xfId="1" applyFont="1" applyFill="1" applyBorder="1" applyAlignment="1">
      <alignment horizontal="center"/>
    </xf>
    <xf numFmtId="0" fontId="32" fillId="2" borderId="3" xfId="1" applyFont="1" applyFill="1" applyBorder="1" applyAlignment="1">
      <alignment horizontal="center"/>
    </xf>
    <xf numFmtId="0" fontId="33" fillId="3" borderId="3" xfId="1" applyFont="1" applyFill="1" applyBorder="1" applyAlignment="1" applyProtection="1">
      <alignment horizontal="center"/>
      <protection locked="0"/>
    </xf>
    <xf numFmtId="2" fontId="33" fillId="3" borderId="3" xfId="1" applyNumberFormat="1" applyFont="1" applyFill="1" applyBorder="1" applyAlignment="1" applyProtection="1">
      <alignment horizontal="center"/>
      <protection locked="0"/>
    </xf>
    <xf numFmtId="2" fontId="33" fillId="3" borderId="4" xfId="1" applyNumberFormat="1" applyFont="1" applyFill="1" applyBorder="1" applyAlignment="1" applyProtection="1">
      <alignment horizontal="center"/>
      <protection locked="0"/>
    </xf>
    <xf numFmtId="0" fontId="33" fillId="3" borderId="5" xfId="1" applyFont="1" applyFill="1" applyBorder="1" applyAlignment="1" applyProtection="1">
      <alignment horizontal="center"/>
      <protection locked="0"/>
    </xf>
    <xf numFmtId="2" fontId="33" fillId="3" borderId="5" xfId="1" applyNumberFormat="1" applyFont="1" applyFill="1" applyBorder="1" applyAlignment="1" applyProtection="1">
      <alignment horizontal="center"/>
      <protection locked="0"/>
    </xf>
    <xf numFmtId="0" fontId="32" fillId="2" borderId="4" xfId="1" applyFont="1" applyFill="1" applyBorder="1"/>
    <xf numFmtId="1" fontId="31" fillId="4" borderId="2" xfId="1" applyNumberFormat="1" applyFont="1" applyFill="1" applyBorder="1" applyAlignment="1">
      <alignment horizontal="center"/>
    </xf>
    <xf numFmtId="1" fontId="31" fillId="4" borderId="1" xfId="1" applyNumberFormat="1" applyFont="1" applyFill="1" applyBorder="1" applyAlignment="1">
      <alignment horizontal="center"/>
    </xf>
    <xf numFmtId="2" fontId="31" fillId="4" borderId="1" xfId="1" applyNumberFormat="1" applyFont="1" applyFill="1" applyBorder="1" applyAlignment="1">
      <alignment horizontal="center"/>
    </xf>
    <xf numFmtId="0" fontId="32" fillId="2" borderId="3" xfId="1" applyFont="1" applyFill="1" applyBorder="1"/>
    <xf numFmtId="10" fontId="31" fillId="5" borderId="1" xfId="1" applyNumberFormat="1" applyFont="1" applyFill="1" applyBorder="1" applyAlignment="1">
      <alignment horizontal="center"/>
    </xf>
    <xf numFmtId="165" fontId="31" fillId="2" borderId="0" xfId="1" applyNumberFormat="1" applyFont="1" applyFill="1" applyAlignment="1">
      <alignment horizontal="center"/>
    </xf>
    <xf numFmtId="0" fontId="32" fillId="2" borderId="6" xfId="1" applyFont="1" applyFill="1" applyBorder="1"/>
    <xf numFmtId="0" fontId="32" fillId="2" borderId="5" xfId="1" applyFont="1" applyFill="1" applyBorder="1"/>
    <xf numFmtId="0" fontId="31" fillId="4" borderId="1" xfId="1" applyFont="1" applyFill="1" applyBorder="1" applyAlignment="1">
      <alignment horizontal="center"/>
    </xf>
    <xf numFmtId="0" fontId="31" fillId="2" borderId="7" xfId="1" applyFont="1" applyFill="1" applyBorder="1" applyAlignment="1">
      <alignment horizontal="center"/>
    </xf>
    <xf numFmtId="0" fontId="32" fillId="2" borderId="7" xfId="1" applyFont="1" applyFill="1" applyBorder="1"/>
    <xf numFmtId="0" fontId="32" fillId="2" borderId="8" xfId="1" applyFont="1" applyFill="1" applyBorder="1"/>
    <xf numFmtId="0" fontId="32" fillId="2" borderId="0" xfId="1" applyFont="1" applyFill="1" applyAlignment="1" applyProtection="1">
      <alignment horizontal="left"/>
      <protection locked="0"/>
    </xf>
    <xf numFmtId="0" fontId="32" fillId="2" borderId="0" xfId="1" applyFont="1" applyFill="1" applyProtection="1">
      <protection locked="0"/>
    </xf>
    <xf numFmtId="0" fontId="28" fillId="2" borderId="9" xfId="1" applyFont="1" applyFill="1" applyBorder="1"/>
    <xf numFmtId="0" fontId="28" fillId="2" borderId="0" xfId="1" applyFont="1" applyFill="1" applyAlignment="1">
      <alignment horizontal="center"/>
    </xf>
    <xf numFmtId="10" fontId="28" fillId="2" borderId="9" xfId="1" applyNumberFormat="1" applyFont="1" applyFill="1" applyBorder="1"/>
    <xf numFmtId="0" fontId="26" fillId="2" borderId="0" xfId="1" applyFill="1"/>
    <xf numFmtId="0" fontId="27" fillId="2" borderId="10" xfId="1" applyFont="1" applyFill="1" applyBorder="1" applyAlignment="1">
      <alignment horizontal="center"/>
    </xf>
    <xf numFmtId="0" fontId="28" fillId="2" borderId="10" xfId="1" applyFont="1" applyFill="1" applyBorder="1" applyAlignment="1">
      <alignment horizontal="center"/>
    </xf>
    <xf numFmtId="0" fontId="27" fillId="2" borderId="0" xfId="1" applyFont="1" applyFill="1" applyAlignment="1">
      <alignment horizontal="right"/>
    </xf>
    <xf numFmtId="0" fontId="28" fillId="2" borderId="7" xfId="1" applyFont="1" applyFill="1" applyBorder="1"/>
    <xf numFmtId="0" fontId="27" fillId="2" borderId="11" xfId="1" applyFont="1" applyFill="1" applyBorder="1"/>
    <xf numFmtId="0" fontId="28" fillId="2" borderId="11" xfId="1" applyFont="1" applyFill="1" applyBorder="1"/>
    <xf numFmtId="15" fontId="28" fillId="2" borderId="7" xfId="1" applyNumberFormat="1" applyFont="1" applyFill="1" applyBorder="1"/>
    <xf numFmtId="0" fontId="33" fillId="3" borderId="3" xfId="2" applyFont="1" applyFill="1" applyBorder="1" applyAlignment="1" applyProtection="1">
      <alignment horizontal="center"/>
      <protection locked="0"/>
    </xf>
    <xf numFmtId="2" fontId="33" fillId="3" borderId="3" xfId="2" applyNumberFormat="1" applyFont="1" applyFill="1" applyBorder="1" applyAlignment="1" applyProtection="1">
      <alignment horizontal="center"/>
      <protection locked="0"/>
    </xf>
    <xf numFmtId="2" fontId="33" fillId="3" borderId="4" xfId="2" applyNumberFormat="1" applyFont="1" applyFill="1" applyBorder="1" applyAlignment="1" applyProtection="1">
      <alignment horizontal="center"/>
      <protection locked="0"/>
    </xf>
    <xf numFmtId="0" fontId="33" fillId="3" borderId="5" xfId="2" applyFont="1" applyFill="1" applyBorder="1" applyAlignment="1" applyProtection="1">
      <alignment horizontal="center"/>
      <protection locked="0"/>
    </xf>
    <xf numFmtId="2" fontId="33" fillId="3" borderId="5" xfId="2" applyNumberFormat="1" applyFont="1" applyFill="1" applyBorder="1" applyAlignment="1" applyProtection="1">
      <alignment horizontal="center"/>
      <protection locked="0"/>
    </xf>
    <xf numFmtId="10" fontId="28" fillId="2" borderId="0" xfId="1" applyNumberFormat="1" applyFont="1" applyFill="1" applyBorder="1"/>
    <xf numFmtId="0" fontId="29" fillId="2" borderId="0" xfId="1" applyFont="1" applyFill="1" applyAlignment="1">
      <alignment horizontal="center"/>
    </xf>
    <xf numFmtId="0" fontId="27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E60" sqref="E60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7" t="s">
        <v>0</v>
      </c>
      <c r="B15" s="477"/>
      <c r="C15" s="477"/>
      <c r="D15" s="477"/>
      <c r="E15" s="477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133</v>
      </c>
      <c r="D17" s="432"/>
      <c r="E17" s="433"/>
    </row>
    <row r="18" spans="1:5" ht="16.5" customHeight="1" x14ac:dyDescent="0.3">
      <c r="A18" s="434" t="s">
        <v>4</v>
      </c>
      <c r="B18" s="431" t="s">
        <v>137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12.22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B20/100</f>
        <v>0.1222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20748081</v>
      </c>
      <c r="C24" s="440">
        <v>4450.3999999999996</v>
      </c>
      <c r="D24" s="441">
        <v>1</v>
      </c>
      <c r="E24" s="442">
        <v>4.0999999999999996</v>
      </c>
    </row>
    <row r="25" spans="1:5" ht="16.5" customHeight="1" x14ac:dyDescent="0.3">
      <c r="A25" s="439">
        <v>2</v>
      </c>
      <c r="B25" s="440">
        <v>20814651</v>
      </c>
      <c r="C25" s="440">
        <v>4467</v>
      </c>
      <c r="D25" s="441">
        <v>1</v>
      </c>
      <c r="E25" s="441">
        <v>4.0999999999999996</v>
      </c>
    </row>
    <row r="26" spans="1:5" ht="16.5" customHeight="1" x14ac:dyDescent="0.3">
      <c r="A26" s="439">
        <v>3</v>
      </c>
      <c r="B26" s="440">
        <v>20723372</v>
      </c>
      <c r="C26" s="440">
        <v>4498.1000000000004</v>
      </c>
      <c r="D26" s="441">
        <v>1</v>
      </c>
      <c r="E26" s="441">
        <v>4.0999999999999996</v>
      </c>
    </row>
    <row r="27" spans="1:5" ht="16.5" customHeight="1" x14ac:dyDescent="0.3">
      <c r="A27" s="439">
        <v>4</v>
      </c>
      <c r="B27" s="440">
        <v>20759087</v>
      </c>
      <c r="C27" s="440">
        <v>4506.5</v>
      </c>
      <c r="D27" s="441">
        <v>1</v>
      </c>
      <c r="E27" s="441">
        <v>4.0999999999999996</v>
      </c>
    </row>
    <row r="28" spans="1:5" ht="16.5" customHeight="1" x14ac:dyDescent="0.3">
      <c r="A28" s="439">
        <v>5</v>
      </c>
      <c r="B28" s="440">
        <v>20635393</v>
      </c>
      <c r="C28" s="440">
        <v>4522.3</v>
      </c>
      <c r="D28" s="441">
        <v>1</v>
      </c>
      <c r="E28" s="441">
        <v>4.0999999999999996</v>
      </c>
    </row>
    <row r="29" spans="1:5" ht="16.5" customHeight="1" x14ac:dyDescent="0.3">
      <c r="A29" s="439">
        <v>6</v>
      </c>
      <c r="B29" s="443">
        <v>20850103</v>
      </c>
      <c r="C29" s="443">
        <v>4476.1000000000004</v>
      </c>
      <c r="D29" s="444">
        <v>1</v>
      </c>
      <c r="E29" s="444">
        <v>4.0999999999999996</v>
      </c>
    </row>
    <row r="30" spans="1:5" ht="16.5" customHeight="1" x14ac:dyDescent="0.3">
      <c r="A30" s="445" t="s">
        <v>18</v>
      </c>
      <c r="B30" s="446">
        <f>AVERAGE(B24:B29)</f>
        <v>20755114.5</v>
      </c>
      <c r="C30" s="447">
        <f>AVERAGE(C24:C29)</f>
        <v>4486.7333333333336</v>
      </c>
      <c r="D30" s="448">
        <f>AVERAGE(D24:D29)</f>
        <v>1</v>
      </c>
      <c r="E30" s="448">
        <f>AVERAGE(E24:E29)</f>
        <v>4.1000000000000005</v>
      </c>
    </row>
    <row r="31" spans="1:5" ht="16.5" customHeight="1" x14ac:dyDescent="0.3">
      <c r="A31" s="449" t="s">
        <v>19</v>
      </c>
      <c r="B31" s="450">
        <f>(STDEV(B24:B29)/B30)</f>
        <v>3.6038204847486589E-3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134</v>
      </c>
      <c r="C34" s="459"/>
      <c r="D34" s="459"/>
      <c r="E34" s="459"/>
    </row>
    <row r="35" spans="1:5" ht="16.5" customHeight="1" x14ac:dyDescent="0.3">
      <c r="A35" s="434"/>
      <c r="B35" s="458" t="s">
        <v>135</v>
      </c>
      <c r="C35" s="459"/>
      <c r="D35" s="459"/>
      <c r="E35" s="459"/>
    </row>
    <row r="36" spans="1:5" ht="16.5" customHeight="1" x14ac:dyDescent="0.3">
      <c r="A36" s="434"/>
      <c r="B36" s="458" t="s">
        <v>136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22</v>
      </c>
    </row>
    <row r="39" spans="1:5" ht="16.5" customHeight="1" x14ac:dyDescent="0.3">
      <c r="A39" s="434" t="s">
        <v>4</v>
      </c>
      <c r="B39" s="431" t="s">
        <v>137</v>
      </c>
      <c r="C39" s="433"/>
      <c r="D39" s="433"/>
      <c r="E39" s="433"/>
    </row>
    <row r="40" spans="1:5" ht="16.5" customHeight="1" x14ac:dyDescent="0.3">
      <c r="A40" s="434" t="s">
        <v>6</v>
      </c>
      <c r="B40" s="435">
        <v>99.39</v>
      </c>
      <c r="C40" s="433"/>
      <c r="D40" s="433"/>
      <c r="E40" s="433"/>
    </row>
    <row r="41" spans="1:5" ht="16.5" customHeight="1" x14ac:dyDescent="0.3">
      <c r="A41" s="431" t="s">
        <v>8</v>
      </c>
      <c r="B41" s="435">
        <v>16.440000000000001</v>
      </c>
      <c r="C41" s="433"/>
      <c r="D41" s="433"/>
      <c r="E41" s="433"/>
    </row>
    <row r="42" spans="1:5" ht="16.5" customHeight="1" x14ac:dyDescent="0.3">
      <c r="A42" s="431" t="s">
        <v>10</v>
      </c>
      <c r="B42" s="436">
        <v>0.32880000000000004</v>
      </c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>
        <v>5437454</v>
      </c>
      <c r="C45" s="440">
        <v>477</v>
      </c>
      <c r="D45" s="441">
        <v>1.29</v>
      </c>
      <c r="E45" s="442">
        <v>2.2999999999999998</v>
      </c>
    </row>
    <row r="46" spans="1:5" ht="16.5" customHeight="1" x14ac:dyDescent="0.3">
      <c r="A46" s="439">
        <v>2</v>
      </c>
      <c r="B46" s="440">
        <v>5475638</v>
      </c>
      <c r="C46" s="440">
        <v>456</v>
      </c>
      <c r="D46" s="441">
        <v>1.29</v>
      </c>
      <c r="E46" s="441">
        <v>2.27</v>
      </c>
    </row>
    <row r="47" spans="1:5" ht="16.5" customHeight="1" x14ac:dyDescent="0.3">
      <c r="A47" s="439">
        <v>3</v>
      </c>
      <c r="B47" s="440">
        <v>5452020</v>
      </c>
      <c r="C47" s="440">
        <v>459</v>
      </c>
      <c r="D47" s="441">
        <v>1.28</v>
      </c>
      <c r="E47" s="441">
        <v>2.2799999999999998</v>
      </c>
    </row>
    <row r="48" spans="1:5" ht="16.5" customHeight="1" x14ac:dyDescent="0.3">
      <c r="A48" s="439">
        <v>4</v>
      </c>
      <c r="B48" s="440">
        <v>5461010</v>
      </c>
      <c r="C48" s="440">
        <v>462</v>
      </c>
      <c r="D48" s="441">
        <v>1.26</v>
      </c>
      <c r="E48" s="441">
        <v>2.29</v>
      </c>
    </row>
    <row r="49" spans="1:7" ht="16.5" customHeight="1" x14ac:dyDescent="0.3">
      <c r="A49" s="439">
        <v>5</v>
      </c>
      <c r="B49" s="440">
        <v>5445490</v>
      </c>
      <c r="C49" s="440">
        <v>456</v>
      </c>
      <c r="D49" s="441">
        <v>1.29</v>
      </c>
      <c r="E49" s="441">
        <v>2.29</v>
      </c>
    </row>
    <row r="50" spans="1:7" ht="16.5" customHeight="1" x14ac:dyDescent="0.3">
      <c r="A50" s="439">
        <v>6</v>
      </c>
      <c r="B50" s="443">
        <v>5457376</v>
      </c>
      <c r="C50" s="443">
        <v>454</v>
      </c>
      <c r="D50" s="444">
        <v>1.28</v>
      </c>
      <c r="E50" s="444">
        <v>2.29</v>
      </c>
    </row>
    <row r="51" spans="1:7" ht="16.5" customHeight="1" x14ac:dyDescent="0.3">
      <c r="A51" s="445" t="s">
        <v>18</v>
      </c>
      <c r="B51" s="446">
        <f>AVERAGE(B45:B50)</f>
        <v>5454831.333333333</v>
      </c>
      <c r="C51" s="447">
        <f>AVERAGE(C45:C50)</f>
        <v>460.66666666666669</v>
      </c>
      <c r="D51" s="448">
        <f>AVERAGE(D45:D50)</f>
        <v>1.2816666666666667</v>
      </c>
      <c r="E51" s="448">
        <f>AVERAGE(E45:E50)</f>
        <v>2.2866666666666666</v>
      </c>
    </row>
    <row r="52" spans="1:7" ht="16.5" customHeight="1" x14ac:dyDescent="0.3">
      <c r="A52" s="449" t="s">
        <v>19</v>
      </c>
      <c r="B52" s="450">
        <f>(STDEV(B45:B50)/B51)</f>
        <v>2.4247353172088264E-3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134</v>
      </c>
      <c r="C55" s="459"/>
      <c r="D55" s="459"/>
      <c r="E55" s="459"/>
    </row>
    <row r="56" spans="1:7" ht="16.5" customHeight="1" x14ac:dyDescent="0.3">
      <c r="A56" s="434"/>
      <c r="B56" s="458" t="s">
        <v>135</v>
      </c>
      <c r="C56" s="459"/>
      <c r="D56" s="459"/>
      <c r="E56" s="459"/>
    </row>
    <row r="57" spans="1:7" ht="16.5" customHeight="1" x14ac:dyDescent="0.3">
      <c r="A57" s="434"/>
      <c r="B57" s="458" t="s">
        <v>136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478" t="s">
        <v>23</v>
      </c>
      <c r="C59" s="478"/>
      <c r="E59" s="464" t="s">
        <v>24</v>
      </c>
      <c r="F59" s="465"/>
      <c r="G59" s="464" t="s">
        <v>25</v>
      </c>
    </row>
    <row r="60" spans="1:7" ht="15" customHeight="1" x14ac:dyDescent="0.3">
      <c r="A60" s="466" t="s">
        <v>26</v>
      </c>
      <c r="B60" s="467" t="s">
        <v>138</v>
      </c>
      <c r="C60" s="467"/>
      <c r="E60" s="470">
        <v>43010</v>
      </c>
      <c r="G60" s="467"/>
    </row>
    <row r="61" spans="1:7" ht="15" customHeight="1" x14ac:dyDescent="0.3">
      <c r="A61" s="466" t="s">
        <v>27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6" workbookViewId="0">
      <selection activeCell="F61" sqref="F61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3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7" t="s">
        <v>0</v>
      </c>
      <c r="B15" s="477"/>
      <c r="C15" s="477"/>
      <c r="D15" s="477"/>
      <c r="E15" s="477"/>
      <c r="F15" s="477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133</v>
      </c>
      <c r="D17" s="432"/>
      <c r="E17" s="432"/>
      <c r="F17" s="433"/>
    </row>
    <row r="18" spans="1:6" ht="16.5" customHeight="1" x14ac:dyDescent="0.3">
      <c r="A18" s="434" t="s">
        <v>4</v>
      </c>
      <c r="B18" s="435" t="s">
        <v>139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99.54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11.3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B20/100</f>
        <v>0.113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140</v>
      </c>
      <c r="F23" s="437" t="s">
        <v>17</v>
      </c>
    </row>
    <row r="24" spans="1:6" ht="16.5" customHeight="1" x14ac:dyDescent="0.3">
      <c r="A24" s="439">
        <v>1</v>
      </c>
      <c r="B24" s="440">
        <v>9722180</v>
      </c>
      <c r="C24" s="440">
        <v>43315</v>
      </c>
      <c r="D24" s="441">
        <v>1.1000000000000001</v>
      </c>
      <c r="E24" s="441">
        <v>43.2</v>
      </c>
      <c r="F24" s="442">
        <v>16</v>
      </c>
    </row>
    <row r="25" spans="1:6" ht="16.5" customHeight="1" x14ac:dyDescent="0.3">
      <c r="A25" s="439">
        <v>2</v>
      </c>
      <c r="B25" s="440">
        <v>9752828</v>
      </c>
      <c r="C25" s="440">
        <v>43066.5</v>
      </c>
      <c r="D25" s="441">
        <v>1.1000000000000001</v>
      </c>
      <c r="E25" s="441">
        <v>43.2</v>
      </c>
      <c r="F25" s="441">
        <v>16</v>
      </c>
    </row>
    <row r="26" spans="1:6" ht="16.5" customHeight="1" x14ac:dyDescent="0.3">
      <c r="A26" s="439">
        <v>3</v>
      </c>
      <c r="B26" s="440">
        <v>9715168</v>
      </c>
      <c r="C26" s="440">
        <v>43341.5</v>
      </c>
      <c r="D26" s="441">
        <v>1.1000000000000001</v>
      </c>
      <c r="E26" s="441">
        <v>43.4</v>
      </c>
      <c r="F26" s="441">
        <v>16</v>
      </c>
    </row>
    <row r="27" spans="1:6" ht="16.5" customHeight="1" x14ac:dyDescent="0.3">
      <c r="A27" s="439">
        <v>4</v>
      </c>
      <c r="B27" s="440">
        <v>9731931</v>
      </c>
      <c r="C27" s="440">
        <v>42756.2</v>
      </c>
      <c r="D27" s="441">
        <v>1.1000000000000001</v>
      </c>
      <c r="E27" s="441">
        <v>43.2</v>
      </c>
      <c r="F27" s="441">
        <v>16</v>
      </c>
    </row>
    <row r="28" spans="1:6" ht="16.5" customHeight="1" x14ac:dyDescent="0.3">
      <c r="A28" s="439">
        <v>5</v>
      </c>
      <c r="B28" s="440">
        <v>9666731</v>
      </c>
      <c r="C28" s="440">
        <v>42861.1</v>
      </c>
      <c r="D28" s="441">
        <v>1.1000000000000001</v>
      </c>
      <c r="E28" s="441">
        <v>43.3</v>
      </c>
      <c r="F28" s="441">
        <v>16</v>
      </c>
    </row>
    <row r="29" spans="1:6" ht="16.5" customHeight="1" x14ac:dyDescent="0.3">
      <c r="A29" s="439">
        <v>6</v>
      </c>
      <c r="B29" s="443">
        <v>9784286</v>
      </c>
      <c r="C29" s="443">
        <v>42939.6</v>
      </c>
      <c r="D29" s="444">
        <v>1.1000000000000001</v>
      </c>
      <c r="E29" s="444">
        <v>43.1</v>
      </c>
      <c r="F29" s="444">
        <v>16</v>
      </c>
    </row>
    <row r="30" spans="1:6" ht="16.5" customHeight="1" x14ac:dyDescent="0.3">
      <c r="A30" s="445" t="s">
        <v>18</v>
      </c>
      <c r="B30" s="446">
        <f>AVERAGE(B24:B29)</f>
        <v>9728854</v>
      </c>
      <c r="C30" s="447">
        <f>AVERAGE(C24:C29)</f>
        <v>43046.65</v>
      </c>
      <c r="D30" s="448">
        <f>AVERAGE(D24:D29)</f>
        <v>1.0999999999999999</v>
      </c>
      <c r="E30" s="448">
        <f>AVERAGE(E24:E29)</f>
        <v>43.233333333333341</v>
      </c>
      <c r="F30" s="448">
        <f>AVERAGE(F24:F29)</f>
        <v>16</v>
      </c>
    </row>
    <row r="31" spans="1:6" ht="16.5" customHeight="1" x14ac:dyDescent="0.3">
      <c r="A31" s="449" t="s">
        <v>19</v>
      </c>
      <c r="B31" s="450">
        <f>(STDEV(B24:B29)/B30)</f>
        <v>4.0462184811820741E-3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134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141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136</v>
      </c>
      <c r="C36" s="459"/>
      <c r="D36" s="459"/>
      <c r="E36" s="459"/>
      <c r="F36" s="459"/>
    </row>
    <row r="37" spans="1:6" ht="15.75" customHeight="1" x14ac:dyDescent="0.25">
      <c r="A37" s="433"/>
      <c r="B37" s="433"/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22</v>
      </c>
    </row>
    <row r="39" spans="1:6" ht="16.5" customHeight="1" x14ac:dyDescent="0.3">
      <c r="A39" s="434" t="s">
        <v>4</v>
      </c>
      <c r="B39" s="435" t="s">
        <v>139</v>
      </c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>
        <v>99.54</v>
      </c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>
        <v>15.56</v>
      </c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>
        <f>15.56/50</f>
        <v>0.31120000000000003</v>
      </c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140</v>
      </c>
      <c r="F44" s="437" t="s">
        <v>17</v>
      </c>
    </row>
    <row r="45" spans="1:6" ht="16.5" customHeight="1" x14ac:dyDescent="0.3">
      <c r="A45" s="439">
        <v>1</v>
      </c>
      <c r="B45" s="471">
        <v>3835374</v>
      </c>
      <c r="C45" s="471">
        <v>9187</v>
      </c>
      <c r="D45" s="472">
        <v>1.23</v>
      </c>
      <c r="E45" s="472">
        <v>14.44</v>
      </c>
      <c r="F45" s="473">
        <v>7.64</v>
      </c>
    </row>
    <row r="46" spans="1:6" ht="16.5" customHeight="1" x14ac:dyDescent="0.3">
      <c r="A46" s="439">
        <v>2</v>
      </c>
      <c r="B46" s="471">
        <v>3848858</v>
      </c>
      <c r="C46" s="471">
        <v>9187</v>
      </c>
      <c r="D46" s="472">
        <v>1.23</v>
      </c>
      <c r="E46" s="472">
        <v>14.42</v>
      </c>
      <c r="F46" s="472">
        <v>7.64</v>
      </c>
    </row>
    <row r="47" spans="1:6" ht="16.5" customHeight="1" x14ac:dyDescent="0.3">
      <c r="A47" s="439">
        <v>3</v>
      </c>
      <c r="B47" s="471">
        <v>3833946</v>
      </c>
      <c r="C47" s="471">
        <v>9406</v>
      </c>
      <c r="D47" s="472">
        <v>1.24</v>
      </c>
      <c r="E47" s="472">
        <v>14.49</v>
      </c>
      <c r="F47" s="472">
        <v>7.64</v>
      </c>
    </row>
    <row r="48" spans="1:6" ht="16.5" customHeight="1" x14ac:dyDescent="0.3">
      <c r="A48" s="439">
        <v>4</v>
      </c>
      <c r="B48" s="471">
        <v>3839500</v>
      </c>
      <c r="C48" s="471">
        <v>9129</v>
      </c>
      <c r="D48" s="472">
        <v>1.21</v>
      </c>
      <c r="E48" s="472">
        <v>14.39</v>
      </c>
      <c r="F48" s="472">
        <v>7.65</v>
      </c>
    </row>
    <row r="49" spans="1:8" ht="16.5" customHeight="1" x14ac:dyDescent="0.3">
      <c r="A49" s="439">
        <v>5</v>
      </c>
      <c r="B49" s="471">
        <v>3832924</v>
      </c>
      <c r="C49" s="471">
        <v>9233</v>
      </c>
      <c r="D49" s="472">
        <v>1.22</v>
      </c>
      <c r="E49" s="472">
        <v>14.37</v>
      </c>
      <c r="F49" s="472">
        <v>7.65</v>
      </c>
    </row>
    <row r="50" spans="1:8" ht="16.5" customHeight="1" x14ac:dyDescent="0.3">
      <c r="A50" s="439">
        <v>6</v>
      </c>
      <c r="B50" s="474">
        <v>3840389</v>
      </c>
      <c r="C50" s="474">
        <v>9106</v>
      </c>
      <c r="D50" s="475">
        <v>1.25</v>
      </c>
      <c r="E50" s="475">
        <v>14.27</v>
      </c>
      <c r="F50" s="475">
        <v>7.65</v>
      </c>
    </row>
    <row r="51" spans="1:8" ht="16.5" customHeight="1" x14ac:dyDescent="0.3">
      <c r="A51" s="445" t="s">
        <v>18</v>
      </c>
      <c r="B51" s="446">
        <f>AVERAGE(B45:B50)</f>
        <v>3838498.5</v>
      </c>
      <c r="C51" s="447">
        <f>AVERAGE(C45:C50)</f>
        <v>9208</v>
      </c>
      <c r="D51" s="448">
        <f>AVERAGE(D45:D50)</f>
        <v>1.23</v>
      </c>
      <c r="E51" s="448">
        <f>AVERAGE(E45:E50)</f>
        <v>14.396666666666667</v>
      </c>
      <c r="F51" s="448">
        <f>AVERAGE(F45:F50)</f>
        <v>7.6449999999999996</v>
      </c>
    </row>
    <row r="52" spans="1:8" ht="16.5" customHeight="1" x14ac:dyDescent="0.3">
      <c r="A52" s="449" t="s">
        <v>19</v>
      </c>
      <c r="B52" s="450">
        <f>(STDEV(B45:B50)/B51)</f>
        <v>1.5344477023197872E-3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134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135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136</v>
      </c>
      <c r="C57" s="459"/>
      <c r="D57" s="459"/>
      <c r="E57" s="459"/>
      <c r="F57" s="459"/>
    </row>
    <row r="58" spans="1:8" ht="14.25" customHeight="1" thickBot="1" x14ac:dyDescent="0.3">
      <c r="A58" s="460"/>
      <c r="B58" s="461"/>
      <c r="D58" s="462"/>
      <c r="E58" s="476"/>
      <c r="G58" s="463"/>
      <c r="H58" s="463"/>
    </row>
    <row r="59" spans="1:8" ht="15" customHeight="1" x14ac:dyDescent="0.3">
      <c r="B59" s="478" t="s">
        <v>23</v>
      </c>
      <c r="C59" s="478"/>
      <c r="F59" s="464" t="s">
        <v>24</v>
      </c>
      <c r="G59" s="465"/>
      <c r="H59" s="464" t="s">
        <v>25</v>
      </c>
    </row>
    <row r="60" spans="1:8" ht="15" customHeight="1" x14ac:dyDescent="0.3">
      <c r="A60" s="466" t="s">
        <v>26</v>
      </c>
      <c r="B60" s="467" t="s">
        <v>138</v>
      </c>
      <c r="C60" s="467"/>
      <c r="F60" s="470">
        <v>43010</v>
      </c>
      <c r="H60" s="467"/>
    </row>
    <row r="61" spans="1:8" ht="15" customHeight="1" x14ac:dyDescent="0.3">
      <c r="A61" s="466" t="s">
        <v>27</v>
      </c>
      <c r="B61" s="468"/>
      <c r="C61" s="468"/>
      <c r="F61" s="468"/>
      <c r="H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2" t="s">
        <v>28</v>
      </c>
      <c r="B11" s="483"/>
      <c r="C11" s="483"/>
      <c r="D11" s="483"/>
      <c r="E11" s="483"/>
      <c r="F11" s="484"/>
      <c r="G11" s="43"/>
    </row>
    <row r="12" spans="1:7" ht="16.5" customHeight="1" x14ac:dyDescent="0.3">
      <c r="A12" s="481" t="s">
        <v>29</v>
      </c>
      <c r="B12" s="481"/>
      <c r="C12" s="481"/>
      <c r="D12" s="481"/>
      <c r="E12" s="481"/>
      <c r="F12" s="481"/>
      <c r="G12" s="42"/>
    </row>
    <row r="14" spans="1:7" ht="16.5" customHeight="1" x14ac:dyDescent="0.3">
      <c r="A14" s="486" t="s">
        <v>30</v>
      </c>
      <c r="B14" s="486"/>
      <c r="C14" s="12" t="s">
        <v>5</v>
      </c>
    </row>
    <row r="15" spans="1:7" ht="16.5" customHeight="1" x14ac:dyDescent="0.3">
      <c r="A15" s="486" t="s">
        <v>31</v>
      </c>
      <c r="B15" s="486"/>
      <c r="C15" s="12" t="s">
        <v>7</v>
      </c>
    </row>
    <row r="16" spans="1:7" ht="16.5" customHeight="1" x14ac:dyDescent="0.3">
      <c r="A16" s="486" t="s">
        <v>32</v>
      </c>
      <c r="B16" s="486"/>
      <c r="C16" s="12" t="s">
        <v>9</v>
      </c>
    </row>
    <row r="17" spans="1:5" ht="16.5" customHeight="1" x14ac:dyDescent="0.3">
      <c r="A17" s="486" t="s">
        <v>33</v>
      </c>
      <c r="B17" s="486"/>
      <c r="C17" s="12" t="s">
        <v>11</v>
      </c>
    </row>
    <row r="18" spans="1:5" ht="16.5" customHeight="1" x14ac:dyDescent="0.3">
      <c r="A18" s="486" t="s">
        <v>34</v>
      </c>
      <c r="B18" s="486"/>
      <c r="C18" s="49" t="s">
        <v>12</v>
      </c>
    </row>
    <row r="19" spans="1:5" ht="16.5" customHeight="1" x14ac:dyDescent="0.3">
      <c r="A19" s="486" t="s">
        <v>35</v>
      </c>
      <c r="B19" s="48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81" t="s">
        <v>1</v>
      </c>
      <c r="B21" s="481"/>
      <c r="C21" s="11" t="s">
        <v>36</v>
      </c>
      <c r="D21" s="18"/>
    </row>
    <row r="22" spans="1:5" ht="15.75" customHeight="1" x14ac:dyDescent="0.3">
      <c r="A22" s="485"/>
      <c r="B22" s="485"/>
      <c r="C22" s="9"/>
      <c r="D22" s="485"/>
      <c r="E22" s="485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869.09</v>
      </c>
      <c r="D24" s="39">
        <f t="shared" ref="D24:D43" si="0">(C24-$C$46)/$C$46</f>
        <v>-3.0004399421593615E-3</v>
      </c>
      <c r="E24" s="5"/>
    </row>
    <row r="25" spans="1:5" ht="15.75" customHeight="1" x14ac:dyDescent="0.3">
      <c r="C25" s="47">
        <v>863.59</v>
      </c>
      <c r="D25" s="40">
        <f t="shared" si="0"/>
        <v>-9.3099102850676026E-3</v>
      </c>
      <c r="E25" s="5"/>
    </row>
    <row r="26" spans="1:5" ht="15.75" customHeight="1" x14ac:dyDescent="0.3">
      <c r="C26" s="47">
        <v>882.75</v>
      </c>
      <c r="D26" s="40">
        <f t="shared" si="0"/>
        <v>1.2669990036772707E-2</v>
      </c>
      <c r="E26" s="5"/>
    </row>
    <row r="27" spans="1:5" ht="15.75" customHeight="1" x14ac:dyDescent="0.3">
      <c r="C27" s="47">
        <v>871.03</v>
      </c>
      <c r="D27" s="40">
        <f t="shared" si="0"/>
        <v>-7.7491767575179498E-4</v>
      </c>
      <c r="E27" s="5"/>
    </row>
    <row r="28" spans="1:5" ht="15.75" customHeight="1" x14ac:dyDescent="0.3">
      <c r="C28" s="47">
        <v>874.89</v>
      </c>
      <c r="D28" s="40">
        <f t="shared" si="0"/>
        <v>3.6531833285438227E-3</v>
      </c>
      <c r="E28" s="5"/>
    </row>
    <row r="29" spans="1:5" ht="15.75" customHeight="1" x14ac:dyDescent="0.3">
      <c r="C29" s="47">
        <v>873.47</v>
      </c>
      <c r="D29" s="40">
        <f t="shared" si="0"/>
        <v>2.0241928036475601E-3</v>
      </c>
      <c r="E29" s="5"/>
    </row>
    <row r="30" spans="1:5" ht="15.75" customHeight="1" x14ac:dyDescent="0.3">
      <c r="C30" s="47">
        <v>874.6</v>
      </c>
      <c r="D30" s="40">
        <f t="shared" si="0"/>
        <v>3.3205021650087024E-3</v>
      </c>
      <c r="E30" s="5"/>
    </row>
    <row r="31" spans="1:5" ht="15.75" customHeight="1" x14ac:dyDescent="0.3">
      <c r="C31" s="47">
        <v>878.32</v>
      </c>
      <c r="D31" s="40">
        <f t="shared" si="0"/>
        <v>7.5879984696666713E-3</v>
      </c>
      <c r="E31" s="5"/>
    </row>
    <row r="32" spans="1:5" ht="15.75" customHeight="1" x14ac:dyDescent="0.3">
      <c r="C32" s="47">
        <v>874.73</v>
      </c>
      <c r="D32" s="40">
        <f t="shared" si="0"/>
        <v>3.4696351003865285E-3</v>
      </c>
      <c r="E32" s="5"/>
    </row>
    <row r="33" spans="1:7" ht="15.75" customHeight="1" x14ac:dyDescent="0.3">
      <c r="C33" s="47">
        <v>870.7</v>
      </c>
      <c r="D33" s="40">
        <f t="shared" si="0"/>
        <v>-1.1534858963262061E-3</v>
      </c>
      <c r="E33" s="5"/>
    </row>
    <row r="34" spans="1:7" ht="15.75" customHeight="1" x14ac:dyDescent="0.3">
      <c r="C34" s="47">
        <v>865.49</v>
      </c>
      <c r="D34" s="40">
        <f t="shared" si="0"/>
        <v>-7.1302750756993272E-3</v>
      </c>
      <c r="E34" s="5"/>
    </row>
    <row r="35" spans="1:7" ht="15.75" customHeight="1" x14ac:dyDescent="0.3">
      <c r="C35" s="47">
        <v>872.61</v>
      </c>
      <c r="D35" s="40">
        <f t="shared" si="0"/>
        <v>1.0376210773018922E-3</v>
      </c>
      <c r="E35" s="5"/>
    </row>
    <row r="36" spans="1:7" ht="15.75" customHeight="1" x14ac:dyDescent="0.3">
      <c r="C36" s="47">
        <v>875.48</v>
      </c>
      <c r="D36" s="40">
        <f t="shared" si="0"/>
        <v>4.330017419874016E-3</v>
      </c>
      <c r="E36" s="5"/>
    </row>
    <row r="37" spans="1:7" ht="15.75" customHeight="1" x14ac:dyDescent="0.3">
      <c r="C37" s="47">
        <v>873.16</v>
      </c>
      <c r="D37" s="40">
        <f t="shared" si="0"/>
        <v>1.668568111592664E-3</v>
      </c>
      <c r="E37" s="5"/>
    </row>
    <row r="38" spans="1:7" ht="15.75" customHeight="1" x14ac:dyDescent="0.3">
      <c r="C38" s="47">
        <v>867.56</v>
      </c>
      <c r="D38" s="40">
        <f t="shared" si="0"/>
        <v>-4.7556198739139351E-3</v>
      </c>
      <c r="E38" s="5"/>
    </row>
    <row r="39" spans="1:7" ht="15.75" customHeight="1" x14ac:dyDescent="0.3">
      <c r="C39" s="47">
        <v>876.4</v>
      </c>
      <c r="D39" s="40">
        <f t="shared" si="0"/>
        <v>5.3854197317786201E-3</v>
      </c>
      <c r="E39" s="5"/>
    </row>
    <row r="40" spans="1:7" ht="15.75" customHeight="1" x14ac:dyDescent="0.3">
      <c r="C40" s="47">
        <v>864.02</v>
      </c>
      <c r="D40" s="40">
        <f t="shared" si="0"/>
        <v>-8.8166244218948336E-3</v>
      </c>
      <c r="E40" s="5"/>
    </row>
    <row r="41" spans="1:7" ht="15.75" customHeight="1" x14ac:dyDescent="0.3">
      <c r="C41" s="47">
        <v>867.55</v>
      </c>
      <c r="D41" s="40">
        <f t="shared" si="0"/>
        <v>-4.767091638173758E-3</v>
      </c>
      <c r="E41" s="5"/>
    </row>
    <row r="42" spans="1:7" ht="15.75" customHeight="1" x14ac:dyDescent="0.3">
      <c r="C42" s="47">
        <v>865.33</v>
      </c>
      <c r="D42" s="40">
        <f t="shared" si="0"/>
        <v>-7.313823303856621E-3</v>
      </c>
      <c r="E42" s="5"/>
    </row>
    <row r="43" spans="1:7" ht="16.5" customHeight="1" x14ac:dyDescent="0.3">
      <c r="C43" s="48">
        <v>873.34</v>
      </c>
      <c r="D43" s="41">
        <f t="shared" si="0"/>
        <v>1.875059868269734E-3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17434.11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871.70550000000003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79">
        <f>C46</f>
        <v>871.70550000000003</v>
      </c>
      <c r="C49" s="45">
        <f>-IF(C46&lt;=80,10%,IF(C46&lt;250,7.5%,5%))</f>
        <v>-0.05</v>
      </c>
      <c r="D49" s="33">
        <f>IF(C46&lt;=80,C46*0.9,IF(C46&lt;250,C46*0.925,C46*0.95))</f>
        <v>828.120225</v>
      </c>
    </row>
    <row r="50" spans="1:6" ht="17.25" customHeight="1" x14ac:dyDescent="0.3">
      <c r="B50" s="480"/>
      <c r="C50" s="46">
        <f>IF(C46&lt;=80, 10%, IF(C46&lt;250, 7.5%, 5%))</f>
        <v>0.05</v>
      </c>
      <c r="D50" s="33">
        <f>IF(C46&lt;=80, C46*1.1, IF(C46&lt;250, C46*1.075, C46*1.05))</f>
        <v>915.29077500000005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3" zoomScale="60" zoomScaleNormal="40" zoomScalePageLayoutView="50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7" t="s">
        <v>42</v>
      </c>
      <c r="B1" s="487"/>
      <c r="C1" s="487"/>
      <c r="D1" s="487"/>
      <c r="E1" s="487"/>
      <c r="F1" s="487"/>
      <c r="G1" s="487"/>
      <c r="H1" s="487"/>
      <c r="I1" s="487"/>
    </row>
    <row r="2" spans="1:9" ht="18.75" customHeight="1" x14ac:dyDescent="0.25">
      <c r="A2" s="487"/>
      <c r="B2" s="487"/>
      <c r="C2" s="487"/>
      <c r="D2" s="487"/>
      <c r="E2" s="487"/>
      <c r="F2" s="487"/>
      <c r="G2" s="487"/>
      <c r="H2" s="487"/>
      <c r="I2" s="487"/>
    </row>
    <row r="3" spans="1:9" ht="18.75" customHeight="1" x14ac:dyDescent="0.25">
      <c r="A3" s="487"/>
      <c r="B3" s="487"/>
      <c r="C3" s="487"/>
      <c r="D3" s="487"/>
      <c r="E3" s="487"/>
      <c r="F3" s="487"/>
      <c r="G3" s="487"/>
      <c r="H3" s="487"/>
      <c r="I3" s="487"/>
    </row>
    <row r="4" spans="1:9" ht="18.75" customHeight="1" x14ac:dyDescent="0.25">
      <c r="A4" s="487"/>
      <c r="B4" s="487"/>
      <c r="C4" s="487"/>
      <c r="D4" s="487"/>
      <c r="E4" s="487"/>
      <c r="F4" s="487"/>
      <c r="G4" s="487"/>
      <c r="H4" s="487"/>
      <c r="I4" s="487"/>
    </row>
    <row r="5" spans="1:9" ht="18.75" customHeight="1" x14ac:dyDescent="0.25">
      <c r="A5" s="487"/>
      <c r="B5" s="487"/>
      <c r="C5" s="487"/>
      <c r="D5" s="487"/>
      <c r="E5" s="487"/>
      <c r="F5" s="487"/>
      <c r="G5" s="487"/>
      <c r="H5" s="487"/>
      <c r="I5" s="487"/>
    </row>
    <row r="6" spans="1:9" ht="18.75" customHeight="1" x14ac:dyDescent="0.25">
      <c r="A6" s="487"/>
      <c r="B6" s="487"/>
      <c r="C6" s="487"/>
      <c r="D6" s="487"/>
      <c r="E6" s="487"/>
      <c r="F6" s="487"/>
      <c r="G6" s="487"/>
      <c r="H6" s="487"/>
      <c r="I6" s="487"/>
    </row>
    <row r="7" spans="1:9" ht="18.75" customHeight="1" x14ac:dyDescent="0.25">
      <c r="A7" s="487"/>
      <c r="B7" s="487"/>
      <c r="C7" s="487"/>
      <c r="D7" s="487"/>
      <c r="E7" s="487"/>
      <c r="F7" s="487"/>
      <c r="G7" s="487"/>
      <c r="H7" s="487"/>
      <c r="I7" s="487"/>
    </row>
    <row r="8" spans="1:9" x14ac:dyDescent="0.25">
      <c r="A8" s="488" t="s">
        <v>43</v>
      </c>
      <c r="B8" s="488"/>
      <c r="C8" s="488"/>
      <c r="D8" s="488"/>
      <c r="E8" s="488"/>
      <c r="F8" s="488"/>
      <c r="G8" s="488"/>
      <c r="H8" s="488"/>
      <c r="I8" s="488"/>
    </row>
    <row r="9" spans="1:9" x14ac:dyDescent="0.25">
      <c r="A9" s="488"/>
      <c r="B9" s="488"/>
      <c r="C9" s="488"/>
      <c r="D9" s="488"/>
      <c r="E9" s="488"/>
      <c r="F9" s="488"/>
      <c r="G9" s="488"/>
      <c r="H9" s="488"/>
      <c r="I9" s="488"/>
    </row>
    <row r="10" spans="1:9" x14ac:dyDescent="0.25">
      <c r="A10" s="488"/>
      <c r="B10" s="488"/>
      <c r="C10" s="488"/>
      <c r="D10" s="488"/>
      <c r="E10" s="488"/>
      <c r="F10" s="488"/>
      <c r="G10" s="488"/>
      <c r="H10" s="488"/>
      <c r="I10" s="488"/>
    </row>
    <row r="11" spans="1:9" x14ac:dyDescent="0.25">
      <c r="A11" s="488"/>
      <c r="B11" s="488"/>
      <c r="C11" s="488"/>
      <c r="D11" s="488"/>
      <c r="E11" s="488"/>
      <c r="F11" s="488"/>
      <c r="G11" s="488"/>
      <c r="H11" s="488"/>
      <c r="I11" s="488"/>
    </row>
    <row r="12" spans="1:9" x14ac:dyDescent="0.25">
      <c r="A12" s="488"/>
      <c r="B12" s="488"/>
      <c r="C12" s="488"/>
      <c r="D12" s="488"/>
      <c r="E12" s="488"/>
      <c r="F12" s="488"/>
      <c r="G12" s="488"/>
      <c r="H12" s="488"/>
      <c r="I12" s="488"/>
    </row>
    <row r="13" spans="1:9" x14ac:dyDescent="0.25">
      <c r="A13" s="488"/>
      <c r="B13" s="488"/>
      <c r="C13" s="488"/>
      <c r="D13" s="488"/>
      <c r="E13" s="488"/>
      <c r="F13" s="488"/>
      <c r="G13" s="488"/>
      <c r="H13" s="488"/>
      <c r="I13" s="488"/>
    </row>
    <row r="14" spans="1:9" x14ac:dyDescent="0.25">
      <c r="A14" s="488"/>
      <c r="B14" s="488"/>
      <c r="C14" s="488"/>
      <c r="D14" s="488"/>
      <c r="E14" s="488"/>
      <c r="F14" s="488"/>
      <c r="G14" s="488"/>
      <c r="H14" s="488"/>
      <c r="I14" s="488"/>
    </row>
    <row r="15" spans="1:9" ht="19.5" customHeight="1" x14ac:dyDescent="0.3">
      <c r="A15" s="50"/>
    </row>
    <row r="16" spans="1:9" ht="19.5" customHeight="1" x14ac:dyDescent="0.3">
      <c r="A16" s="520" t="s">
        <v>28</v>
      </c>
      <c r="B16" s="521"/>
      <c r="C16" s="521"/>
      <c r="D16" s="521"/>
      <c r="E16" s="521"/>
      <c r="F16" s="521"/>
      <c r="G16" s="521"/>
      <c r="H16" s="522"/>
    </row>
    <row r="17" spans="1:14" ht="20.25" customHeight="1" x14ac:dyDescent="0.25">
      <c r="A17" s="523" t="s">
        <v>44</v>
      </c>
      <c r="B17" s="523"/>
      <c r="C17" s="523"/>
      <c r="D17" s="523"/>
      <c r="E17" s="523"/>
      <c r="F17" s="523"/>
      <c r="G17" s="523"/>
      <c r="H17" s="523"/>
    </row>
    <row r="18" spans="1:14" ht="26.25" customHeight="1" x14ac:dyDescent="0.4">
      <c r="A18" s="52" t="s">
        <v>30</v>
      </c>
      <c r="B18" s="524" t="s">
        <v>5</v>
      </c>
      <c r="C18" s="524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519" t="s">
        <v>131</v>
      </c>
      <c r="C20" s="519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519" t="s">
        <v>11</v>
      </c>
      <c r="C21" s="519"/>
      <c r="D21" s="519"/>
      <c r="E21" s="519"/>
      <c r="F21" s="519"/>
      <c r="G21" s="519"/>
      <c r="H21" s="519"/>
      <c r="I21" s="56"/>
    </row>
    <row r="22" spans="1:14" ht="26.25" customHeight="1" x14ac:dyDescent="0.4">
      <c r="A22" s="52" t="s">
        <v>34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>
        <v>43010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9" t="s">
        <v>131</v>
      </c>
      <c r="C26" s="519"/>
    </row>
    <row r="27" spans="1:14" ht="26.25" customHeight="1" x14ac:dyDescent="0.4">
      <c r="A27" s="61" t="s">
        <v>45</v>
      </c>
      <c r="B27" s="525" t="s">
        <v>128</v>
      </c>
      <c r="C27" s="525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46</v>
      </c>
      <c r="B29" s="63">
        <v>0</v>
      </c>
      <c r="C29" s="495" t="s">
        <v>47</v>
      </c>
      <c r="D29" s="496"/>
      <c r="E29" s="496"/>
      <c r="F29" s="496"/>
      <c r="G29" s="497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98" t="s">
        <v>50</v>
      </c>
      <c r="D31" s="499"/>
      <c r="E31" s="499"/>
      <c r="F31" s="499"/>
      <c r="G31" s="499"/>
      <c r="H31" s="500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98" t="s">
        <v>52</v>
      </c>
      <c r="D32" s="499"/>
      <c r="E32" s="499"/>
      <c r="F32" s="499"/>
      <c r="G32" s="499"/>
      <c r="H32" s="50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100</v>
      </c>
      <c r="C36" s="51"/>
      <c r="D36" s="501" t="s">
        <v>56</v>
      </c>
      <c r="E36" s="526"/>
      <c r="F36" s="501" t="s">
        <v>57</v>
      </c>
      <c r="G36" s="50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1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</v>
      </c>
      <c r="C38" s="83">
        <v>1</v>
      </c>
      <c r="D38" s="84">
        <v>9650009</v>
      </c>
      <c r="E38" s="85">
        <f>IF(ISBLANK(D38),"-",$D$48/$D$45*D38)</f>
        <v>10295154.880592316</v>
      </c>
      <c r="F38" s="84">
        <v>11214198</v>
      </c>
      <c r="G38" s="86">
        <f>IF(ISBLANK(F38),"-",$D$48/$F$45*F38)</f>
        <v>10746602.575344197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9756635</v>
      </c>
      <c r="E39" s="90">
        <f>IF(ISBLANK(D39),"-",$D$48/$D$45*D39)</f>
        <v>10408909.301370373</v>
      </c>
      <c r="F39" s="89">
        <v>11134525</v>
      </c>
      <c r="G39" s="91">
        <f>IF(ISBLANK(F39),"-",$D$48/$F$45*F39)</f>
        <v>10670251.679186897</v>
      </c>
      <c r="I39" s="503">
        <f>ABS((F43/D43*D42)-F42)/D42</f>
        <v>3.7764174998303437E-2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9766366</v>
      </c>
      <c r="E40" s="90">
        <f>IF(ISBLANK(D40),"-",$D$48/$D$45*D40)</f>
        <v>10419290.861858353</v>
      </c>
      <c r="F40" s="89">
        <v>11230535</v>
      </c>
      <c r="G40" s="91">
        <f>IF(ISBLANK(F40),"-",$D$48/$F$45*F40)</f>
        <v>10762258.375810124</v>
      </c>
      <c r="I40" s="503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9724336.666666666</v>
      </c>
      <c r="E42" s="100">
        <f>AVERAGE(E38:E41)</f>
        <v>10374451.681273682</v>
      </c>
      <c r="F42" s="99">
        <f>AVERAGE(F38:F41)</f>
        <v>11193086</v>
      </c>
      <c r="G42" s="101">
        <f>AVERAGE(G38:G41)</f>
        <v>10726370.876780406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11.3</v>
      </c>
      <c r="E43" s="92"/>
      <c r="F43" s="104">
        <v>12.58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11.3</v>
      </c>
      <c r="E44" s="107"/>
      <c r="F44" s="106">
        <f>F43*$B$34</f>
        <v>12.58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11.248020000000002</v>
      </c>
      <c r="E45" s="110"/>
      <c r="F45" s="109">
        <f>F44*$B$30/100</f>
        <v>12.522132000000001</v>
      </c>
      <c r="H45" s="102"/>
    </row>
    <row r="46" spans="1:14" ht="19.5" customHeight="1" x14ac:dyDescent="0.3">
      <c r="A46" s="489" t="s">
        <v>75</v>
      </c>
      <c r="B46" s="490"/>
      <c r="C46" s="105" t="s">
        <v>76</v>
      </c>
      <c r="D46" s="111">
        <f>D45/$B$45</f>
        <v>0.11248020000000002</v>
      </c>
      <c r="E46" s="112"/>
      <c r="F46" s="113">
        <f>F45/$B$45</f>
        <v>0.12522132</v>
      </c>
      <c r="H46" s="102"/>
    </row>
    <row r="47" spans="1:14" ht="27" customHeight="1" x14ac:dyDescent="0.4">
      <c r="A47" s="491"/>
      <c r="B47" s="492"/>
      <c r="C47" s="114" t="s">
        <v>77</v>
      </c>
      <c r="D47" s="115">
        <v>0.12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12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10550411.279027043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1.8961494354195696E-2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FILM COATED tablet contains Lamivudine 300mg and Tenofovir Disoproxil Fumarate 300mg</v>
      </c>
    </row>
    <row r="56" spans="1:12" ht="26.25" customHeight="1" x14ac:dyDescent="0.4">
      <c r="A56" s="129" t="s">
        <v>84</v>
      </c>
      <c r="B56" s="130">
        <v>300</v>
      </c>
      <c r="C56" s="51" t="str">
        <f>B20</f>
        <v>Tenofovir Disoproxil Fumarate</v>
      </c>
      <c r="H56" s="131"/>
    </row>
    <row r="57" spans="1:12" ht="18.75" x14ac:dyDescent="0.3">
      <c r="A57" s="128" t="s">
        <v>85</v>
      </c>
      <c r="B57" s="199">
        <f>Uniformity!C46</f>
        <v>871.70550000000003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4</v>
      </c>
      <c r="C60" s="506" t="s">
        <v>91</v>
      </c>
      <c r="D60" s="509">
        <v>872.93</v>
      </c>
      <c r="E60" s="134">
        <v>1</v>
      </c>
      <c r="F60" s="135">
        <v>10182612</v>
      </c>
      <c r="G60" s="200">
        <f>IF(ISBLANK(F60),"-",(F60/$D$50*$D$47*$B$68)*($B$57/$D$60))</f>
        <v>289.13550671896513</v>
      </c>
      <c r="H60" s="218">
        <f t="shared" ref="H60:H71" si="0">IF(ISBLANK(F60),"-",(G60/$B$56)*100)</f>
        <v>96.378502239655035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507"/>
      <c r="D61" s="510"/>
      <c r="E61" s="136">
        <v>2</v>
      </c>
      <c r="F61" s="89">
        <v>10376462</v>
      </c>
      <c r="G61" s="201">
        <f>IF(ISBLANK(F61),"-",(F61/$D$50*$D$47*$B$68)*($B$57/$D$60))</f>
        <v>294.63988201849253</v>
      </c>
      <c r="H61" s="219">
        <f t="shared" si="0"/>
        <v>98.213294006164176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507"/>
      <c r="D62" s="510"/>
      <c r="E62" s="136">
        <v>3</v>
      </c>
      <c r="F62" s="137">
        <v>10336814</v>
      </c>
      <c r="G62" s="201">
        <f>IF(ISBLANK(F62),"-",(F62/$D$50*$D$47*$B$68)*($B$57/$D$60))</f>
        <v>293.51407612798101</v>
      </c>
      <c r="H62" s="219">
        <f t="shared" si="0"/>
        <v>97.838025375993681</v>
      </c>
      <c r="L62" s="64"/>
    </row>
    <row r="63" spans="1:12" ht="27" customHeight="1" x14ac:dyDescent="0.4">
      <c r="A63" s="76" t="s">
        <v>94</v>
      </c>
      <c r="B63" s="77">
        <v>1</v>
      </c>
      <c r="C63" s="516"/>
      <c r="D63" s="511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506" t="s">
        <v>96</v>
      </c>
      <c r="D64" s="509">
        <v>870.6</v>
      </c>
      <c r="E64" s="134">
        <v>1</v>
      </c>
      <c r="F64" s="135">
        <v>10112299</v>
      </c>
      <c r="G64" s="200">
        <f>IF(ISBLANK(F64),"-",(F64/$D$50*$D$47*$B$68)*($B$57/$D$64))</f>
        <v>287.90744181249499</v>
      </c>
      <c r="H64" s="218">
        <f t="shared" si="0"/>
        <v>95.96914727083167</v>
      </c>
    </row>
    <row r="65" spans="1:8" ht="26.25" customHeight="1" x14ac:dyDescent="0.4">
      <c r="A65" s="76" t="s">
        <v>97</v>
      </c>
      <c r="B65" s="77">
        <v>1</v>
      </c>
      <c r="C65" s="507"/>
      <c r="D65" s="510"/>
      <c r="E65" s="136">
        <v>2</v>
      </c>
      <c r="F65" s="89">
        <v>10177518</v>
      </c>
      <c r="G65" s="201">
        <f>IF(ISBLANK(F65),"-",(F65/$D$50*$D$47*$B$68)*($B$57/$D$64))</f>
        <v>289.76429310294532</v>
      </c>
      <c r="H65" s="219">
        <f t="shared" si="0"/>
        <v>96.588097700981763</v>
      </c>
    </row>
    <row r="66" spans="1:8" ht="26.25" customHeight="1" x14ac:dyDescent="0.4">
      <c r="A66" s="76" t="s">
        <v>98</v>
      </c>
      <c r="B66" s="77">
        <v>1</v>
      </c>
      <c r="C66" s="507"/>
      <c r="D66" s="510"/>
      <c r="E66" s="136">
        <v>3</v>
      </c>
      <c r="F66" s="89">
        <v>10105381</v>
      </c>
      <c r="G66" s="201">
        <f>IF(ISBLANK(F66),"-",(F66/$D$50*$D$47*$B$68)*($B$57/$D$64))</f>
        <v>287.71047931341752</v>
      </c>
      <c r="H66" s="219">
        <f t="shared" si="0"/>
        <v>95.903493104472503</v>
      </c>
    </row>
    <row r="67" spans="1:8" ht="27" customHeight="1" x14ac:dyDescent="0.4">
      <c r="A67" s="76" t="s">
        <v>99</v>
      </c>
      <c r="B67" s="77">
        <v>1</v>
      </c>
      <c r="C67" s="516"/>
      <c r="D67" s="511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2500</v>
      </c>
      <c r="C68" s="506" t="s">
        <v>101</v>
      </c>
      <c r="D68" s="509">
        <v>874.34</v>
      </c>
      <c r="E68" s="134">
        <v>1</v>
      </c>
      <c r="F68" s="135">
        <v>9981076</v>
      </c>
      <c r="G68" s="200">
        <f>IF(ISBLANK(F68),"-",(F68/$D$50*$D$47*$B$68)*($B$57/$D$68))</f>
        <v>282.95584290296</v>
      </c>
      <c r="H68" s="219">
        <f t="shared" si="0"/>
        <v>94.318614300986667</v>
      </c>
    </row>
    <row r="69" spans="1:8" ht="27" customHeight="1" x14ac:dyDescent="0.4">
      <c r="A69" s="124" t="s">
        <v>102</v>
      </c>
      <c r="B69" s="141">
        <f>(D47*B68)/B56*B57</f>
        <v>871.70550000000003</v>
      </c>
      <c r="C69" s="507"/>
      <c r="D69" s="510"/>
      <c r="E69" s="136">
        <v>2</v>
      </c>
      <c r="F69" s="89">
        <v>10054851</v>
      </c>
      <c r="G69" s="201">
        <f>IF(ISBLANK(F69),"-",(F69/$D$50*$D$47*$B$68)*($B$57/$D$68))</f>
        <v>285.04730752162089</v>
      </c>
      <c r="H69" s="219">
        <f t="shared" si="0"/>
        <v>95.015769173873636</v>
      </c>
    </row>
    <row r="70" spans="1:8" ht="26.25" customHeight="1" x14ac:dyDescent="0.4">
      <c r="A70" s="512" t="s">
        <v>75</v>
      </c>
      <c r="B70" s="513"/>
      <c r="C70" s="507"/>
      <c r="D70" s="510"/>
      <c r="E70" s="136">
        <v>3</v>
      </c>
      <c r="F70" s="89">
        <v>10195470</v>
      </c>
      <c r="G70" s="201">
        <f>IF(ISBLANK(F70),"-",(F70/$D$50*$D$47*$B$68)*($B$57/$D$68))</f>
        <v>289.03374822933324</v>
      </c>
      <c r="H70" s="219">
        <f t="shared" si="0"/>
        <v>96.34458274311109</v>
      </c>
    </row>
    <row r="71" spans="1:8" ht="27" customHeight="1" x14ac:dyDescent="0.4">
      <c r="A71" s="514"/>
      <c r="B71" s="515"/>
      <c r="C71" s="508"/>
      <c r="D71" s="511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288.85650863869006</v>
      </c>
      <c r="H72" s="221">
        <f>AVERAGE(H60:H71)</f>
        <v>96.285502879563367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1.2697276120433401E-2</v>
      </c>
      <c r="H73" s="205">
        <f>STDEV(H60:H71)/H72</f>
        <v>1.2697276120433408E-2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103</v>
      </c>
      <c r="B76" s="149" t="s">
        <v>104</v>
      </c>
      <c r="C76" s="493" t="str">
        <f>B26</f>
        <v>Tenofovir Disoproxil Fumarate</v>
      </c>
      <c r="D76" s="493"/>
      <c r="E76" s="150" t="s">
        <v>105</v>
      </c>
      <c r="F76" s="150"/>
      <c r="G76" s="237">
        <f>H72</f>
        <v>96.285502879563367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27" t="str">
        <f>B26</f>
        <v>Tenofovir Disoproxil Fumarate</v>
      </c>
      <c r="C79" s="527"/>
    </row>
    <row r="80" spans="1:8" ht="26.25" customHeight="1" x14ac:dyDescent="0.4">
      <c r="A80" s="61" t="s">
        <v>45</v>
      </c>
      <c r="B80" s="527" t="str">
        <f>B27</f>
        <v>T11-10</v>
      </c>
      <c r="C80" s="527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46</v>
      </c>
      <c r="B82" s="63">
        <v>0</v>
      </c>
      <c r="C82" s="495" t="s">
        <v>47</v>
      </c>
      <c r="D82" s="496"/>
      <c r="E82" s="496"/>
      <c r="F82" s="496"/>
      <c r="G82" s="497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98" t="s">
        <v>108</v>
      </c>
      <c r="D84" s="499"/>
      <c r="E84" s="499"/>
      <c r="F84" s="499"/>
      <c r="G84" s="499"/>
      <c r="H84" s="500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98" t="s">
        <v>109</v>
      </c>
      <c r="D85" s="499"/>
      <c r="E85" s="499"/>
      <c r="F85" s="499"/>
      <c r="G85" s="499"/>
      <c r="H85" s="50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54" t="s">
        <v>56</v>
      </c>
      <c r="E89" s="155"/>
      <c r="F89" s="501" t="s">
        <v>57</v>
      </c>
      <c r="G89" s="502"/>
    </row>
    <row r="90" spans="1:12" ht="27" customHeight="1" x14ac:dyDescent="0.4">
      <c r="A90" s="76" t="s">
        <v>58</v>
      </c>
      <c r="B90" s="77">
        <v>1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</v>
      </c>
      <c r="C91" s="158">
        <v>1</v>
      </c>
      <c r="D91" s="84">
        <v>3836260</v>
      </c>
      <c r="E91" s="85">
        <f>IF(ISBLANK(D91),"-",$D$101/$D$98*D91)</f>
        <v>3715284.3956234665</v>
      </c>
      <c r="F91" s="84">
        <v>3571211</v>
      </c>
      <c r="G91" s="86">
        <f>IF(ISBLANK(F91),"-",$D$101/$F$98*F91)</f>
        <v>3747612.6253188057</v>
      </c>
      <c r="I91" s="87"/>
    </row>
    <row r="92" spans="1:12" ht="26.25" customHeight="1" x14ac:dyDescent="0.4">
      <c r="A92" s="76" t="s">
        <v>64</v>
      </c>
      <c r="B92" s="77">
        <v>1</v>
      </c>
      <c r="C92" s="143">
        <v>2</v>
      </c>
      <c r="D92" s="89">
        <v>3830760</v>
      </c>
      <c r="E92" s="90">
        <f>IF(ISBLANK(D92),"-",$D$101/$D$98*D92)</f>
        <v>3709957.8368980596</v>
      </c>
      <c r="F92" s="89">
        <v>3572406</v>
      </c>
      <c r="G92" s="91">
        <f>IF(ISBLANK(F92),"-",$D$101/$F$98*F92)</f>
        <v>3748866.6528985975</v>
      </c>
      <c r="I92" s="503">
        <f>ABS((F96/D96*D95)-F95)/D95</f>
        <v>9.3588984561394188E-3</v>
      </c>
    </row>
    <row r="93" spans="1:12" ht="26.25" customHeight="1" x14ac:dyDescent="0.4">
      <c r="A93" s="76" t="s">
        <v>65</v>
      </c>
      <c r="B93" s="77">
        <v>1</v>
      </c>
      <c r="C93" s="143">
        <v>3</v>
      </c>
      <c r="D93" s="89">
        <v>3827872</v>
      </c>
      <c r="E93" s="90">
        <f>IF(ISBLANK(D93),"-",$D$101/$D$98*D93)</f>
        <v>3707160.9093346098</v>
      </c>
      <c r="F93" s="89">
        <v>3572359</v>
      </c>
      <c r="G93" s="91">
        <f>IF(ISBLANK(F93),"-",$D$101/$F$98*F93)</f>
        <v>3748817.3313117777</v>
      </c>
      <c r="I93" s="503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3831630.6666666665</v>
      </c>
      <c r="E95" s="100">
        <f>AVERAGE(E91:E94)</f>
        <v>3710801.0472853784</v>
      </c>
      <c r="F95" s="163">
        <f>AVERAGE(F91:F94)</f>
        <v>3571992</v>
      </c>
      <c r="G95" s="164">
        <f>AVERAGE(G91:G94)</f>
        <v>3748432.2031763936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15.56</v>
      </c>
      <c r="E96" s="92"/>
      <c r="F96" s="104">
        <v>14.36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15.56</v>
      </c>
      <c r="E97" s="107"/>
      <c r="F97" s="106">
        <f>F96*$B$87</f>
        <v>14.36</v>
      </c>
    </row>
    <row r="98" spans="1:10" ht="19.5" customHeight="1" x14ac:dyDescent="0.3">
      <c r="A98" s="76" t="s">
        <v>73</v>
      </c>
      <c r="B98" s="169">
        <f>(B97/B96)*(B95/B94)*(B93/B92)*(B91/B90)*B89</f>
        <v>50</v>
      </c>
      <c r="C98" s="167" t="s">
        <v>112</v>
      </c>
      <c r="D98" s="170">
        <f>D97*$B$83/100</f>
        <v>15.488424000000002</v>
      </c>
      <c r="E98" s="110"/>
      <c r="F98" s="109">
        <f>F97*$B$83/100</f>
        <v>14.293944000000002</v>
      </c>
    </row>
    <row r="99" spans="1:10" ht="19.5" customHeight="1" x14ac:dyDescent="0.3">
      <c r="A99" s="489" t="s">
        <v>75</v>
      </c>
      <c r="B99" s="504"/>
      <c r="C99" s="167" t="s">
        <v>113</v>
      </c>
      <c r="D99" s="171">
        <f>D98/$B$98</f>
        <v>0.30976848000000001</v>
      </c>
      <c r="E99" s="110"/>
      <c r="F99" s="113">
        <f>F98/$B$98</f>
        <v>0.28587888000000006</v>
      </c>
      <c r="G99" s="172"/>
      <c r="H99" s="102"/>
    </row>
    <row r="100" spans="1:10" ht="19.5" customHeight="1" x14ac:dyDescent="0.3">
      <c r="A100" s="491"/>
      <c r="B100" s="505"/>
      <c r="C100" s="167" t="s">
        <v>77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3729616.625230886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5.5718564697541445E-3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1000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1</v>
      </c>
      <c r="C108" s="227">
        <v>1</v>
      </c>
      <c r="D108" s="228">
        <v>3660802</v>
      </c>
      <c r="E108" s="202">
        <f t="shared" ref="E108:E113" si="1">IF(ISBLANK(D108),"-",D108/$D$103*$D$100*$B$116)</f>
        <v>294.46474272191773</v>
      </c>
      <c r="F108" s="229">
        <f t="shared" ref="F108:F113" si="2">IF(ISBLANK(D108), "-", (E108/$B$56)*100)</f>
        <v>98.154914240639243</v>
      </c>
    </row>
    <row r="109" spans="1:10" ht="26.25" customHeight="1" x14ac:dyDescent="0.4">
      <c r="A109" s="76" t="s">
        <v>92</v>
      </c>
      <c r="B109" s="77">
        <v>1</v>
      </c>
      <c r="C109" s="223">
        <v>2</v>
      </c>
      <c r="D109" s="225">
        <v>3659737</v>
      </c>
      <c r="E109" s="203">
        <f t="shared" si="1"/>
        <v>294.37907708061869</v>
      </c>
      <c r="F109" s="230">
        <f t="shared" si="2"/>
        <v>98.126359026872905</v>
      </c>
    </row>
    <row r="110" spans="1:10" ht="26.25" customHeight="1" x14ac:dyDescent="0.4">
      <c r="A110" s="76" t="s">
        <v>93</v>
      </c>
      <c r="B110" s="77">
        <v>1</v>
      </c>
      <c r="C110" s="223">
        <v>3</v>
      </c>
      <c r="D110" s="225">
        <v>3653041</v>
      </c>
      <c r="E110" s="203">
        <f t="shared" si="1"/>
        <v>293.84046944293004</v>
      </c>
      <c r="F110" s="230">
        <f t="shared" si="2"/>
        <v>97.946823147643343</v>
      </c>
    </row>
    <row r="111" spans="1:10" ht="26.25" customHeight="1" x14ac:dyDescent="0.4">
      <c r="A111" s="76" t="s">
        <v>94</v>
      </c>
      <c r="B111" s="77">
        <v>1</v>
      </c>
      <c r="C111" s="223">
        <v>4</v>
      </c>
      <c r="D111" s="225">
        <v>3640256</v>
      </c>
      <c r="E111" s="203">
        <f t="shared" si="1"/>
        <v>292.812079561232</v>
      </c>
      <c r="F111" s="230">
        <f t="shared" si="2"/>
        <v>97.60402652041067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25">
        <v>3653336</v>
      </c>
      <c r="E112" s="203">
        <f t="shared" si="1"/>
        <v>293.86419842338375</v>
      </c>
      <c r="F112" s="230">
        <f t="shared" si="2"/>
        <v>97.954732807794585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26">
        <v>3647618</v>
      </c>
      <c r="E113" s="204">
        <f t="shared" si="1"/>
        <v>293.40425838869083</v>
      </c>
      <c r="F113" s="231">
        <f t="shared" si="2"/>
        <v>97.801419462896945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293.79413760312883</v>
      </c>
      <c r="F115" s="233">
        <f>AVERAGE(F108:F113)</f>
        <v>97.931379201042958</v>
      </c>
    </row>
    <row r="116" spans="1:10" ht="27" customHeight="1" x14ac:dyDescent="0.4">
      <c r="A116" s="76" t="s">
        <v>100</v>
      </c>
      <c r="B116" s="108">
        <f>(B115/B114)*(B113/B112)*(B111/B110)*(B109/B108)*B107</f>
        <v>1000</v>
      </c>
      <c r="C116" s="186"/>
      <c r="D116" s="210" t="s">
        <v>81</v>
      </c>
      <c r="E116" s="208">
        <f>STDEV(E108:E113)/E115</f>
        <v>2.1066751624470147E-3</v>
      </c>
      <c r="F116" s="187">
        <f>STDEV(F108:F113)/F115</f>
        <v>2.1066751624470165E-3</v>
      </c>
      <c r="I116" s="50"/>
    </row>
    <row r="117" spans="1:10" ht="27" customHeight="1" x14ac:dyDescent="0.4">
      <c r="A117" s="489" t="s">
        <v>75</v>
      </c>
      <c r="B117" s="490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91"/>
      <c r="B118" s="492"/>
      <c r="C118" s="50"/>
      <c r="D118" s="212"/>
      <c r="E118" s="517" t="s">
        <v>120</v>
      </c>
      <c r="F118" s="518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292.812079561232</v>
      </c>
      <c r="F119" s="234">
        <f>MIN(F108:F113)</f>
        <v>97.60402652041067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294.46474272191773</v>
      </c>
      <c r="F120" s="235">
        <f>MAX(F108:F113)</f>
        <v>98.154914240639243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493" t="str">
        <f>B26</f>
        <v>Tenofovir Disoproxil Fumarate</v>
      </c>
      <c r="D124" s="493"/>
      <c r="E124" s="150" t="s">
        <v>124</v>
      </c>
      <c r="F124" s="150"/>
      <c r="G124" s="236">
        <f>F115</f>
        <v>97.931379201042958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6">
        <f>MIN(F108:F113)</f>
        <v>97.60402652041067</v>
      </c>
      <c r="E125" s="161" t="s">
        <v>127</v>
      </c>
      <c r="F125" s="236">
        <f>MAX(F108:F113)</f>
        <v>98.154914240639243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94" t="s">
        <v>23</v>
      </c>
      <c r="C127" s="494"/>
      <c r="E127" s="156" t="s">
        <v>24</v>
      </c>
      <c r="F127" s="191"/>
      <c r="G127" s="494" t="s">
        <v>25</v>
      </c>
      <c r="H127" s="494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6" zoomScale="60" zoomScaleNormal="40" zoomScalePageLayoutView="50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7" t="s">
        <v>42</v>
      </c>
      <c r="B1" s="487"/>
      <c r="C1" s="487"/>
      <c r="D1" s="487"/>
      <c r="E1" s="487"/>
      <c r="F1" s="487"/>
      <c r="G1" s="487"/>
      <c r="H1" s="487"/>
      <c r="I1" s="487"/>
    </row>
    <row r="2" spans="1:9" ht="18.75" customHeight="1" x14ac:dyDescent="0.25">
      <c r="A2" s="487"/>
      <c r="B2" s="487"/>
      <c r="C2" s="487"/>
      <c r="D2" s="487"/>
      <c r="E2" s="487"/>
      <c r="F2" s="487"/>
      <c r="G2" s="487"/>
      <c r="H2" s="487"/>
      <c r="I2" s="487"/>
    </row>
    <row r="3" spans="1:9" ht="18.75" customHeight="1" x14ac:dyDescent="0.25">
      <c r="A3" s="487"/>
      <c r="B3" s="487"/>
      <c r="C3" s="487"/>
      <c r="D3" s="487"/>
      <c r="E3" s="487"/>
      <c r="F3" s="487"/>
      <c r="G3" s="487"/>
      <c r="H3" s="487"/>
      <c r="I3" s="487"/>
    </row>
    <row r="4" spans="1:9" ht="18.75" customHeight="1" x14ac:dyDescent="0.25">
      <c r="A4" s="487"/>
      <c r="B4" s="487"/>
      <c r="C4" s="487"/>
      <c r="D4" s="487"/>
      <c r="E4" s="487"/>
      <c r="F4" s="487"/>
      <c r="G4" s="487"/>
      <c r="H4" s="487"/>
      <c r="I4" s="487"/>
    </row>
    <row r="5" spans="1:9" ht="18.75" customHeight="1" x14ac:dyDescent="0.25">
      <c r="A5" s="487"/>
      <c r="B5" s="487"/>
      <c r="C5" s="487"/>
      <c r="D5" s="487"/>
      <c r="E5" s="487"/>
      <c r="F5" s="487"/>
      <c r="G5" s="487"/>
      <c r="H5" s="487"/>
      <c r="I5" s="487"/>
    </row>
    <row r="6" spans="1:9" ht="18.75" customHeight="1" x14ac:dyDescent="0.25">
      <c r="A6" s="487"/>
      <c r="B6" s="487"/>
      <c r="C6" s="487"/>
      <c r="D6" s="487"/>
      <c r="E6" s="487"/>
      <c r="F6" s="487"/>
      <c r="G6" s="487"/>
      <c r="H6" s="487"/>
      <c r="I6" s="487"/>
    </row>
    <row r="7" spans="1:9" ht="18.75" customHeight="1" x14ac:dyDescent="0.25">
      <c r="A7" s="487"/>
      <c r="B7" s="487"/>
      <c r="C7" s="487"/>
      <c r="D7" s="487"/>
      <c r="E7" s="487"/>
      <c r="F7" s="487"/>
      <c r="G7" s="487"/>
      <c r="H7" s="487"/>
      <c r="I7" s="487"/>
    </row>
    <row r="8" spans="1:9" x14ac:dyDescent="0.25">
      <c r="A8" s="488" t="s">
        <v>43</v>
      </c>
      <c r="B8" s="488"/>
      <c r="C8" s="488"/>
      <c r="D8" s="488"/>
      <c r="E8" s="488"/>
      <c r="F8" s="488"/>
      <c r="G8" s="488"/>
      <c r="H8" s="488"/>
      <c r="I8" s="488"/>
    </row>
    <row r="9" spans="1:9" x14ac:dyDescent="0.25">
      <c r="A9" s="488"/>
      <c r="B9" s="488"/>
      <c r="C9" s="488"/>
      <c r="D9" s="488"/>
      <c r="E9" s="488"/>
      <c r="F9" s="488"/>
      <c r="G9" s="488"/>
      <c r="H9" s="488"/>
      <c r="I9" s="488"/>
    </row>
    <row r="10" spans="1:9" x14ac:dyDescent="0.25">
      <c r="A10" s="488"/>
      <c r="B10" s="488"/>
      <c r="C10" s="488"/>
      <c r="D10" s="488"/>
      <c r="E10" s="488"/>
      <c r="F10" s="488"/>
      <c r="G10" s="488"/>
      <c r="H10" s="488"/>
      <c r="I10" s="488"/>
    </row>
    <row r="11" spans="1:9" x14ac:dyDescent="0.25">
      <c r="A11" s="488"/>
      <c r="B11" s="488"/>
      <c r="C11" s="488"/>
      <c r="D11" s="488"/>
      <c r="E11" s="488"/>
      <c r="F11" s="488"/>
      <c r="G11" s="488"/>
      <c r="H11" s="488"/>
      <c r="I11" s="488"/>
    </row>
    <row r="12" spans="1:9" x14ac:dyDescent="0.25">
      <c r="A12" s="488"/>
      <c r="B12" s="488"/>
      <c r="C12" s="488"/>
      <c r="D12" s="488"/>
      <c r="E12" s="488"/>
      <c r="F12" s="488"/>
      <c r="G12" s="488"/>
      <c r="H12" s="488"/>
      <c r="I12" s="488"/>
    </row>
    <row r="13" spans="1:9" x14ac:dyDescent="0.25">
      <c r="A13" s="488"/>
      <c r="B13" s="488"/>
      <c r="C13" s="488"/>
      <c r="D13" s="488"/>
      <c r="E13" s="488"/>
      <c r="F13" s="488"/>
      <c r="G13" s="488"/>
      <c r="H13" s="488"/>
      <c r="I13" s="488"/>
    </row>
    <row r="14" spans="1:9" x14ac:dyDescent="0.25">
      <c r="A14" s="488"/>
      <c r="B14" s="488"/>
      <c r="C14" s="488"/>
      <c r="D14" s="488"/>
      <c r="E14" s="488"/>
      <c r="F14" s="488"/>
      <c r="G14" s="488"/>
      <c r="H14" s="488"/>
      <c r="I14" s="488"/>
    </row>
    <row r="15" spans="1:9" ht="19.5" customHeight="1" x14ac:dyDescent="0.3">
      <c r="A15" s="238"/>
    </row>
    <row r="16" spans="1:9" ht="19.5" customHeight="1" x14ac:dyDescent="0.3">
      <c r="A16" s="520" t="s">
        <v>28</v>
      </c>
      <c r="B16" s="521"/>
      <c r="C16" s="521"/>
      <c r="D16" s="521"/>
      <c r="E16" s="521"/>
      <c r="F16" s="521"/>
      <c r="G16" s="521"/>
      <c r="H16" s="522"/>
    </row>
    <row r="17" spans="1:14" ht="20.25" customHeight="1" x14ac:dyDescent="0.25">
      <c r="A17" s="523" t="s">
        <v>44</v>
      </c>
      <c r="B17" s="523"/>
      <c r="C17" s="523"/>
      <c r="D17" s="523"/>
      <c r="E17" s="523"/>
      <c r="F17" s="523"/>
      <c r="G17" s="523"/>
      <c r="H17" s="523"/>
    </row>
    <row r="18" spans="1:14" ht="26.25" customHeight="1" x14ac:dyDescent="0.4">
      <c r="A18" s="240" t="s">
        <v>30</v>
      </c>
      <c r="B18" s="524" t="s">
        <v>5</v>
      </c>
      <c r="C18" s="524"/>
      <c r="D18" s="386"/>
      <c r="E18" s="241"/>
      <c r="F18" s="242"/>
      <c r="G18" s="242"/>
      <c r="H18" s="242"/>
    </row>
    <row r="19" spans="1:14" ht="26.25" customHeight="1" x14ac:dyDescent="0.4">
      <c r="A19" s="240" t="s">
        <v>31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32</v>
      </c>
      <c r="B20" s="519" t="s">
        <v>129</v>
      </c>
      <c r="C20" s="519"/>
      <c r="D20" s="242"/>
      <c r="E20" s="242"/>
      <c r="F20" s="242"/>
      <c r="G20" s="242"/>
      <c r="H20" s="242"/>
    </row>
    <row r="21" spans="1:14" ht="26.25" customHeight="1" x14ac:dyDescent="0.4">
      <c r="A21" s="240" t="s">
        <v>33</v>
      </c>
      <c r="B21" s="528" t="s">
        <v>132</v>
      </c>
      <c r="C21" s="519"/>
      <c r="D21" s="519"/>
      <c r="E21" s="519"/>
      <c r="F21" s="519"/>
      <c r="G21" s="519"/>
      <c r="H21" s="519"/>
      <c r="I21" s="244"/>
    </row>
    <row r="22" spans="1:14" ht="26.25" customHeight="1" x14ac:dyDescent="0.4">
      <c r="A22" s="240" t="s">
        <v>34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35</v>
      </c>
      <c r="B23" s="245">
        <v>43010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519" t="s">
        <v>129</v>
      </c>
      <c r="C26" s="519"/>
    </row>
    <row r="27" spans="1:14" ht="26.25" customHeight="1" x14ac:dyDescent="0.4">
      <c r="A27" s="249" t="s">
        <v>45</v>
      </c>
      <c r="B27" s="525" t="s">
        <v>130</v>
      </c>
      <c r="C27" s="525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46</v>
      </c>
      <c r="B29" s="251">
        <v>0</v>
      </c>
      <c r="C29" s="495" t="s">
        <v>47</v>
      </c>
      <c r="D29" s="496"/>
      <c r="E29" s="496"/>
      <c r="F29" s="496"/>
      <c r="G29" s="497"/>
      <c r="I29" s="252"/>
      <c r="J29" s="252"/>
      <c r="K29" s="252"/>
      <c r="L29" s="252"/>
    </row>
    <row r="30" spans="1:14" s="3" customFormat="1" ht="19.5" customHeight="1" x14ac:dyDescent="0.3">
      <c r="A30" s="249" t="s">
        <v>48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49</v>
      </c>
      <c r="B31" s="256">
        <v>1</v>
      </c>
      <c r="C31" s="498" t="s">
        <v>50</v>
      </c>
      <c r="D31" s="499"/>
      <c r="E31" s="499"/>
      <c r="F31" s="499"/>
      <c r="G31" s="499"/>
      <c r="H31" s="500"/>
      <c r="I31" s="252"/>
      <c r="J31" s="252"/>
      <c r="K31" s="252"/>
      <c r="L31" s="252"/>
    </row>
    <row r="32" spans="1:14" s="3" customFormat="1" ht="27" customHeight="1" x14ac:dyDescent="0.4">
      <c r="A32" s="249" t="s">
        <v>51</v>
      </c>
      <c r="B32" s="256">
        <v>1</v>
      </c>
      <c r="C32" s="498" t="s">
        <v>52</v>
      </c>
      <c r="D32" s="499"/>
      <c r="E32" s="499"/>
      <c r="F32" s="499"/>
      <c r="G32" s="499"/>
      <c r="H32" s="500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53</v>
      </c>
      <c r="B34" s="261">
        <f>B31/B32</f>
        <v>1</v>
      </c>
      <c r="C34" s="239" t="s">
        <v>54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55</v>
      </c>
      <c r="B36" s="263">
        <v>100</v>
      </c>
      <c r="C36" s="239"/>
      <c r="D36" s="501" t="s">
        <v>56</v>
      </c>
      <c r="E36" s="526"/>
      <c r="F36" s="501" t="s">
        <v>57</v>
      </c>
      <c r="G36" s="502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58</v>
      </c>
      <c r="B37" s="265">
        <v>1</v>
      </c>
      <c r="C37" s="266" t="s">
        <v>59</v>
      </c>
      <c r="D37" s="267" t="s">
        <v>60</v>
      </c>
      <c r="E37" s="268" t="s">
        <v>61</v>
      </c>
      <c r="F37" s="267" t="s">
        <v>60</v>
      </c>
      <c r="G37" s="269" t="s">
        <v>61</v>
      </c>
      <c r="I37" s="270" t="s">
        <v>62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63</v>
      </c>
      <c r="B38" s="265">
        <v>1</v>
      </c>
      <c r="C38" s="271">
        <v>1</v>
      </c>
      <c r="D38" s="272">
        <v>20585360</v>
      </c>
      <c r="E38" s="273">
        <f>IF(ISBLANK(D38),"-",$D$48/$D$45*D38)</f>
        <v>20338822.957520414</v>
      </c>
      <c r="F38" s="272">
        <v>19785322</v>
      </c>
      <c r="G38" s="274">
        <f>IF(ISBLANK(F38),"-",$D$48/$F$45*F38)</f>
        <v>20790342.761865661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64</v>
      </c>
      <c r="B39" s="265">
        <v>1</v>
      </c>
      <c r="C39" s="276">
        <v>2</v>
      </c>
      <c r="D39" s="277">
        <v>20801744</v>
      </c>
      <c r="E39" s="278">
        <f>IF(ISBLANK(D39),"-",$D$48/$D$45*D39)</f>
        <v>20552615.471561465</v>
      </c>
      <c r="F39" s="277">
        <v>19335148</v>
      </c>
      <c r="G39" s="279">
        <f>IF(ISBLANK(F39),"-",$D$48/$F$45*F39)</f>
        <v>20317301.597184081</v>
      </c>
      <c r="I39" s="503">
        <f>ABS((F43/D43*D42)-F42)/D42</f>
        <v>6.9424115645235112E-3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65</v>
      </c>
      <c r="B40" s="265">
        <v>1</v>
      </c>
      <c r="C40" s="276">
        <v>3</v>
      </c>
      <c r="D40" s="277">
        <v>20793331</v>
      </c>
      <c r="E40" s="278">
        <f>IF(ISBLANK(D40),"-",$D$48/$D$45*D40)</f>
        <v>20544303.228416745</v>
      </c>
      <c r="F40" s="277">
        <v>19777104</v>
      </c>
      <c r="G40" s="279">
        <f>IF(ISBLANK(F40),"-",$D$48/$F$45*F40)</f>
        <v>20781707.318034269</v>
      </c>
      <c r="I40" s="503"/>
      <c r="L40" s="257"/>
      <c r="M40" s="257"/>
      <c r="N40" s="280"/>
    </row>
    <row r="41" spans="1:14" ht="27" customHeight="1" x14ac:dyDescent="0.4">
      <c r="A41" s="264" t="s">
        <v>66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67</v>
      </c>
      <c r="B42" s="265">
        <v>1</v>
      </c>
      <c r="C42" s="286" t="s">
        <v>68</v>
      </c>
      <c r="D42" s="287">
        <f>AVERAGE(D38:D41)</f>
        <v>20726811.666666668</v>
      </c>
      <c r="E42" s="288">
        <f>AVERAGE(E38:E41)</f>
        <v>20478580.552499544</v>
      </c>
      <c r="F42" s="287">
        <f>AVERAGE(F38:F41)</f>
        <v>19632524.666666668</v>
      </c>
      <c r="G42" s="289">
        <f>AVERAGE(G38:G41)</f>
        <v>20629783.892361335</v>
      </c>
      <c r="H42" s="290"/>
    </row>
    <row r="43" spans="1:14" ht="26.25" customHeight="1" x14ac:dyDescent="0.4">
      <c r="A43" s="264" t="s">
        <v>69</v>
      </c>
      <c r="B43" s="265">
        <v>1</v>
      </c>
      <c r="C43" s="291" t="s">
        <v>70</v>
      </c>
      <c r="D43" s="292">
        <v>12.22</v>
      </c>
      <c r="E43" s="280"/>
      <c r="F43" s="292">
        <v>11.49</v>
      </c>
      <c r="H43" s="290"/>
    </row>
    <row r="44" spans="1:14" ht="26.25" customHeight="1" x14ac:dyDescent="0.4">
      <c r="A44" s="264" t="s">
        <v>71</v>
      </c>
      <c r="B44" s="265">
        <v>1</v>
      </c>
      <c r="C44" s="293" t="s">
        <v>72</v>
      </c>
      <c r="D44" s="294">
        <f>D43*$B$34</f>
        <v>12.22</v>
      </c>
      <c r="E44" s="295"/>
      <c r="F44" s="294">
        <f>F43*$B$34</f>
        <v>11.49</v>
      </c>
      <c r="H44" s="290"/>
    </row>
    <row r="45" spans="1:14" ht="19.5" customHeight="1" x14ac:dyDescent="0.3">
      <c r="A45" s="264" t="s">
        <v>73</v>
      </c>
      <c r="B45" s="296">
        <f>(B44/B43)*(B42/B41)*(B40/B39)*(B38/B37)*B36</f>
        <v>100</v>
      </c>
      <c r="C45" s="293" t="s">
        <v>74</v>
      </c>
      <c r="D45" s="297">
        <f>D44*$B$30/100</f>
        <v>12.145458000000001</v>
      </c>
      <c r="E45" s="298"/>
      <c r="F45" s="297">
        <f>F44*$B$30/100</f>
        <v>11.419910999999999</v>
      </c>
      <c r="H45" s="290"/>
    </row>
    <row r="46" spans="1:14" ht="19.5" customHeight="1" x14ac:dyDescent="0.3">
      <c r="A46" s="489" t="s">
        <v>75</v>
      </c>
      <c r="B46" s="490"/>
      <c r="C46" s="293" t="s">
        <v>76</v>
      </c>
      <c r="D46" s="299">
        <f>D45/$B$45</f>
        <v>0.12145458000000002</v>
      </c>
      <c r="E46" s="300"/>
      <c r="F46" s="301">
        <f>F45/$B$45</f>
        <v>0.11419910999999999</v>
      </c>
      <c r="H46" s="290"/>
    </row>
    <row r="47" spans="1:14" ht="27" customHeight="1" x14ac:dyDescent="0.4">
      <c r="A47" s="491"/>
      <c r="B47" s="492"/>
      <c r="C47" s="302" t="s">
        <v>77</v>
      </c>
      <c r="D47" s="303">
        <v>0.12</v>
      </c>
      <c r="E47" s="304"/>
      <c r="F47" s="300"/>
      <c r="H47" s="290"/>
    </row>
    <row r="48" spans="1:14" ht="18.75" x14ac:dyDescent="0.3">
      <c r="C48" s="305" t="s">
        <v>78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79</v>
      </c>
      <c r="D49" s="308">
        <f>D48/B34</f>
        <v>12</v>
      </c>
      <c r="F49" s="306"/>
      <c r="H49" s="290"/>
    </row>
    <row r="50" spans="1:12" ht="18.75" x14ac:dyDescent="0.3">
      <c r="C50" s="262" t="s">
        <v>80</v>
      </c>
      <c r="D50" s="309">
        <f>AVERAGE(E38:E41,G38:G41)</f>
        <v>20554182.222430438</v>
      </c>
      <c r="F50" s="310"/>
      <c r="H50" s="290"/>
    </row>
    <row r="51" spans="1:12" ht="18.75" x14ac:dyDescent="0.3">
      <c r="C51" s="264" t="s">
        <v>81</v>
      </c>
      <c r="D51" s="311">
        <f>STDEV(E38:E41,G38:G41)/D50</f>
        <v>9.9737950603530721E-3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82</v>
      </c>
    </row>
    <row r="55" spans="1:12" ht="18.75" x14ac:dyDescent="0.3">
      <c r="A55" s="239" t="s">
        <v>83</v>
      </c>
      <c r="B55" s="316" t="str">
        <f>B21</f>
        <v>Each FILM COATED tablet contains Lamivudine 300mg and Tenofovir Disoproxil Fumarate 300mg</v>
      </c>
    </row>
    <row r="56" spans="1:12" ht="26.25" customHeight="1" x14ac:dyDescent="0.4">
      <c r="A56" s="317" t="s">
        <v>84</v>
      </c>
      <c r="B56" s="318">
        <v>300</v>
      </c>
      <c r="C56" s="239" t="str">
        <f>B20</f>
        <v>Lamivudine</v>
      </c>
      <c r="H56" s="319"/>
    </row>
    <row r="57" spans="1:12" ht="18.75" x14ac:dyDescent="0.3">
      <c r="A57" s="316" t="s">
        <v>85</v>
      </c>
      <c r="B57" s="387">
        <f>Uniformity!C46</f>
        <v>871.70550000000003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86</v>
      </c>
      <c r="B59" s="263">
        <v>200</v>
      </c>
      <c r="C59" s="239"/>
      <c r="D59" s="320" t="s">
        <v>87</v>
      </c>
      <c r="E59" s="321" t="s">
        <v>59</v>
      </c>
      <c r="F59" s="321" t="s">
        <v>60</v>
      </c>
      <c r="G59" s="321" t="s">
        <v>88</v>
      </c>
      <c r="H59" s="266" t="s">
        <v>89</v>
      </c>
      <c r="L59" s="252"/>
    </row>
    <row r="60" spans="1:12" s="3" customFormat="1" ht="26.25" customHeight="1" x14ac:dyDescent="0.4">
      <c r="A60" s="264" t="s">
        <v>90</v>
      </c>
      <c r="B60" s="265">
        <v>4</v>
      </c>
      <c r="C60" s="506" t="s">
        <v>91</v>
      </c>
      <c r="D60" s="509">
        <v>872.93</v>
      </c>
      <c r="E60" s="322">
        <v>1</v>
      </c>
      <c r="F60" s="323">
        <v>20507951</v>
      </c>
      <c r="G60" s="388">
        <f>IF(ISBLANK(F60),"-",(F60/$D$50*$D$47*$B$68)*($B$57/$D$60))</f>
        <v>298.90535138104559</v>
      </c>
      <c r="H60" s="406">
        <f t="shared" ref="H60:H71" si="0">IF(ISBLANK(F60),"-",(G60/$B$56)*100)</f>
        <v>99.635117127015192</v>
      </c>
      <c r="L60" s="252"/>
    </row>
    <row r="61" spans="1:12" s="3" customFormat="1" ht="26.25" customHeight="1" x14ac:dyDescent="0.4">
      <c r="A61" s="264" t="s">
        <v>92</v>
      </c>
      <c r="B61" s="265">
        <v>50</v>
      </c>
      <c r="C61" s="507"/>
      <c r="D61" s="510"/>
      <c r="E61" s="324">
        <v>2</v>
      </c>
      <c r="F61" s="277">
        <v>20827119</v>
      </c>
      <c r="G61" s="389">
        <f>IF(ISBLANK(F61),"-",(F61/$D$50*$D$47*$B$68)*($B$57/$D$60))</f>
        <v>303.55725557125868</v>
      </c>
      <c r="H61" s="407">
        <f t="shared" si="0"/>
        <v>101.18575185708623</v>
      </c>
      <c r="L61" s="252"/>
    </row>
    <row r="62" spans="1:12" s="3" customFormat="1" ht="26.25" customHeight="1" x14ac:dyDescent="0.4">
      <c r="A62" s="264" t="s">
        <v>93</v>
      </c>
      <c r="B62" s="265">
        <v>1</v>
      </c>
      <c r="C62" s="507"/>
      <c r="D62" s="510"/>
      <c r="E62" s="324">
        <v>3</v>
      </c>
      <c r="F62" s="325">
        <v>20751562</v>
      </c>
      <c r="G62" s="389">
        <f>IF(ISBLANK(F62),"-",(F62/$D$50*$D$47*$B$68)*($B$57/$D$60))</f>
        <v>302.45600505460322</v>
      </c>
      <c r="H62" s="407">
        <f t="shared" si="0"/>
        <v>100.81866835153441</v>
      </c>
      <c r="L62" s="252"/>
    </row>
    <row r="63" spans="1:12" ht="27" customHeight="1" x14ac:dyDescent="0.4">
      <c r="A63" s="264" t="s">
        <v>94</v>
      </c>
      <c r="B63" s="265">
        <v>1</v>
      </c>
      <c r="C63" s="516"/>
      <c r="D63" s="511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95</v>
      </c>
      <c r="B64" s="265">
        <v>1</v>
      </c>
      <c r="C64" s="506" t="s">
        <v>96</v>
      </c>
      <c r="D64" s="509">
        <v>870.6</v>
      </c>
      <c r="E64" s="322">
        <v>1</v>
      </c>
      <c r="F64" s="323">
        <v>20295419</v>
      </c>
      <c r="G64" s="388">
        <f>IF(ISBLANK(F64),"-",(F64/$D$50*$D$47*$B$68)*($B$57/$D$64))</f>
        <v>296.5993516892832</v>
      </c>
      <c r="H64" s="406">
        <f t="shared" si="0"/>
        <v>98.866450563094403</v>
      </c>
    </row>
    <row r="65" spans="1:8" ht="26.25" customHeight="1" x14ac:dyDescent="0.4">
      <c r="A65" s="264" t="s">
        <v>97</v>
      </c>
      <c r="B65" s="265">
        <v>1</v>
      </c>
      <c r="C65" s="507"/>
      <c r="D65" s="510"/>
      <c r="E65" s="324">
        <v>2</v>
      </c>
      <c r="F65" s="277">
        <v>20444095</v>
      </c>
      <c r="G65" s="389">
        <f>IF(ISBLANK(F65),"-",(F65/$D$50*$D$47*$B$68)*($B$57/$D$64))</f>
        <v>298.77211812548023</v>
      </c>
      <c r="H65" s="407">
        <f t="shared" si="0"/>
        <v>99.590706041826749</v>
      </c>
    </row>
    <row r="66" spans="1:8" ht="26.25" customHeight="1" x14ac:dyDescent="0.4">
      <c r="A66" s="264" t="s">
        <v>98</v>
      </c>
      <c r="B66" s="265">
        <v>1</v>
      </c>
      <c r="C66" s="507"/>
      <c r="D66" s="510"/>
      <c r="E66" s="324">
        <v>3</v>
      </c>
      <c r="F66" s="277">
        <v>20267199</v>
      </c>
      <c r="G66" s="389">
        <f>IF(ISBLANK(F66),"-",(F66/$D$50*$D$47*$B$68)*($B$57/$D$64))</f>
        <v>296.18694169150626</v>
      </c>
      <c r="H66" s="407">
        <f t="shared" si="0"/>
        <v>98.728980563835421</v>
      </c>
    </row>
    <row r="67" spans="1:8" ht="27" customHeight="1" x14ac:dyDescent="0.4">
      <c r="A67" s="264" t="s">
        <v>99</v>
      </c>
      <c r="B67" s="265">
        <v>1</v>
      </c>
      <c r="C67" s="516"/>
      <c r="D67" s="511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100</v>
      </c>
      <c r="B68" s="328">
        <f>(B67/B66)*(B65/B64)*(B63/B62)*(B61/B60)*B59</f>
        <v>2500</v>
      </c>
      <c r="C68" s="506" t="s">
        <v>101</v>
      </c>
      <c r="D68" s="509">
        <v>874.34</v>
      </c>
      <c r="E68" s="322">
        <v>1</v>
      </c>
      <c r="F68" s="323"/>
      <c r="G68" s="388" t="str">
        <f>IF(ISBLANK(F68),"-",(F68/$D$50*$D$47*$B$68)*($B$57/$D$68))</f>
        <v>-</v>
      </c>
      <c r="H68" s="407" t="str">
        <f t="shared" si="0"/>
        <v>-</v>
      </c>
    </row>
    <row r="69" spans="1:8" ht="27" customHeight="1" x14ac:dyDescent="0.4">
      <c r="A69" s="312" t="s">
        <v>102</v>
      </c>
      <c r="B69" s="329">
        <f>(D47*B68)/B56*B57</f>
        <v>871.70550000000003</v>
      </c>
      <c r="C69" s="507"/>
      <c r="D69" s="510"/>
      <c r="E69" s="324">
        <v>2</v>
      </c>
      <c r="F69" s="277">
        <v>19979588</v>
      </c>
      <c r="G69" s="389">
        <f>IF(ISBLANK(F69),"-",(F69/$D$50*$D$47*$B$68)*($B$57/$D$68))</f>
        <v>290.73480068979717</v>
      </c>
      <c r="H69" s="407">
        <f t="shared" si="0"/>
        <v>96.91160022993239</v>
      </c>
    </row>
    <row r="70" spans="1:8" ht="26.25" customHeight="1" x14ac:dyDescent="0.4">
      <c r="A70" s="512" t="s">
        <v>75</v>
      </c>
      <c r="B70" s="513"/>
      <c r="C70" s="507"/>
      <c r="D70" s="510"/>
      <c r="E70" s="324">
        <v>3</v>
      </c>
      <c r="F70" s="277">
        <v>20455445</v>
      </c>
      <c r="G70" s="389">
        <f>IF(ISBLANK(F70),"-",(F70/$D$50*$D$47*$B$68)*($B$57/$D$68))</f>
        <v>297.65927731323126</v>
      </c>
      <c r="H70" s="407">
        <f t="shared" si="0"/>
        <v>99.219759104410414</v>
      </c>
    </row>
    <row r="71" spans="1:8" ht="27" customHeight="1" x14ac:dyDescent="0.4">
      <c r="A71" s="514"/>
      <c r="B71" s="515"/>
      <c r="C71" s="508"/>
      <c r="D71" s="511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68</v>
      </c>
      <c r="G72" s="394">
        <f>AVERAGE(G60:G71)</f>
        <v>298.10888768952566</v>
      </c>
      <c r="H72" s="409">
        <f>AVERAGE(H60:H71)</f>
        <v>99.369629229841919</v>
      </c>
    </row>
    <row r="73" spans="1:8" ht="26.25" customHeight="1" x14ac:dyDescent="0.4">
      <c r="C73" s="330"/>
      <c r="D73" s="330"/>
      <c r="E73" s="330"/>
      <c r="F73" s="333" t="s">
        <v>81</v>
      </c>
      <c r="G73" s="393">
        <f>STDEV(G60:G71)/G72</f>
        <v>1.3310155175839774E-2</v>
      </c>
      <c r="H73" s="393">
        <f>STDEV(H60:H71)/H72</f>
        <v>1.3310155175839781E-2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8</v>
      </c>
      <c r="H74" s="336">
        <f>COUNT(H60:H71)</f>
        <v>8</v>
      </c>
    </row>
    <row r="76" spans="1:8" ht="26.25" customHeight="1" x14ac:dyDescent="0.4">
      <c r="A76" s="248" t="s">
        <v>103</v>
      </c>
      <c r="B76" s="337" t="s">
        <v>104</v>
      </c>
      <c r="C76" s="493" t="str">
        <f>B26</f>
        <v>Lamivudine</v>
      </c>
      <c r="D76" s="493"/>
      <c r="E76" s="338" t="s">
        <v>105</v>
      </c>
      <c r="F76" s="338"/>
      <c r="G76" s="425">
        <f>H72</f>
        <v>99.369629229841919</v>
      </c>
      <c r="H76" s="340"/>
    </row>
    <row r="77" spans="1:8" ht="18.75" x14ac:dyDescent="0.3">
      <c r="A77" s="247" t="s">
        <v>106</v>
      </c>
      <c r="B77" s="247" t="s">
        <v>107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527" t="str">
        <f>B26</f>
        <v>Lamivudine</v>
      </c>
      <c r="C79" s="527"/>
    </row>
    <row r="80" spans="1:8" ht="26.25" customHeight="1" x14ac:dyDescent="0.4">
      <c r="A80" s="249" t="s">
        <v>45</v>
      </c>
      <c r="B80" s="527" t="str">
        <f>B27</f>
        <v>L3-10</v>
      </c>
      <c r="C80" s="527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46</v>
      </c>
      <c r="B82" s="251">
        <v>0</v>
      </c>
      <c r="C82" s="495" t="s">
        <v>47</v>
      </c>
      <c r="D82" s="496"/>
      <c r="E82" s="496"/>
      <c r="F82" s="496"/>
      <c r="G82" s="497"/>
      <c r="I82" s="252"/>
      <c r="J82" s="252"/>
      <c r="K82" s="252"/>
      <c r="L82" s="252"/>
    </row>
    <row r="83" spans="1:12" s="3" customFormat="1" ht="19.5" customHeight="1" x14ac:dyDescent="0.3">
      <c r="A83" s="249" t="s">
        <v>48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49</v>
      </c>
      <c r="B84" s="256">
        <v>1</v>
      </c>
      <c r="C84" s="498" t="s">
        <v>108</v>
      </c>
      <c r="D84" s="499"/>
      <c r="E84" s="499"/>
      <c r="F84" s="499"/>
      <c r="G84" s="499"/>
      <c r="H84" s="500"/>
      <c r="I84" s="252"/>
      <c r="J84" s="252"/>
      <c r="K84" s="252"/>
      <c r="L84" s="252"/>
    </row>
    <row r="85" spans="1:12" s="3" customFormat="1" ht="27" customHeight="1" x14ac:dyDescent="0.4">
      <c r="A85" s="249" t="s">
        <v>51</v>
      </c>
      <c r="B85" s="256">
        <v>1</v>
      </c>
      <c r="C85" s="498" t="s">
        <v>109</v>
      </c>
      <c r="D85" s="499"/>
      <c r="E85" s="499"/>
      <c r="F85" s="499"/>
      <c r="G85" s="499"/>
      <c r="H85" s="500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53</v>
      </c>
      <c r="B87" s="261">
        <f>B84/B85</f>
        <v>1</v>
      </c>
      <c r="C87" s="239" t="s">
        <v>54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55</v>
      </c>
      <c r="B89" s="263">
        <v>50</v>
      </c>
      <c r="D89" s="342" t="s">
        <v>56</v>
      </c>
      <c r="E89" s="343"/>
      <c r="F89" s="501" t="s">
        <v>57</v>
      </c>
      <c r="G89" s="502"/>
    </row>
    <row r="90" spans="1:12" ht="27" customHeight="1" x14ac:dyDescent="0.4">
      <c r="A90" s="264" t="s">
        <v>58</v>
      </c>
      <c r="B90" s="265">
        <v>1</v>
      </c>
      <c r="C90" s="344" t="s">
        <v>59</v>
      </c>
      <c r="D90" s="267" t="s">
        <v>60</v>
      </c>
      <c r="E90" s="268" t="s">
        <v>61</v>
      </c>
      <c r="F90" s="267" t="s">
        <v>60</v>
      </c>
      <c r="G90" s="345" t="s">
        <v>61</v>
      </c>
      <c r="I90" s="270" t="s">
        <v>62</v>
      </c>
    </row>
    <row r="91" spans="1:12" ht="26.25" customHeight="1" x14ac:dyDescent="0.4">
      <c r="A91" s="264" t="s">
        <v>63</v>
      </c>
      <c r="B91" s="265">
        <v>1</v>
      </c>
      <c r="C91" s="346">
        <v>1</v>
      </c>
      <c r="D91" s="272">
        <v>5445746</v>
      </c>
      <c r="E91" s="273">
        <f>IF(ISBLANK(D91),"-",$D$101/$D$98*D91)</f>
        <v>4999241.7248867732</v>
      </c>
      <c r="F91" s="272">
        <v>5097995</v>
      </c>
      <c r="G91" s="274">
        <f>IF(ISBLANK(F91),"-",$D$101/$F$98*F91)</f>
        <v>4909971.5668256646</v>
      </c>
      <c r="I91" s="275"/>
    </row>
    <row r="92" spans="1:12" ht="26.25" customHeight="1" x14ac:dyDescent="0.4">
      <c r="A92" s="264" t="s">
        <v>64</v>
      </c>
      <c r="B92" s="265">
        <v>1</v>
      </c>
      <c r="C92" s="331">
        <v>2</v>
      </c>
      <c r="D92" s="277">
        <v>5444370</v>
      </c>
      <c r="E92" s="278">
        <f>IF(ISBLANK(D92),"-",$D$101/$D$98*D92)</f>
        <v>4997978.5450371355</v>
      </c>
      <c r="F92" s="277">
        <v>5102193</v>
      </c>
      <c r="G92" s="279">
        <f>IF(ISBLANK(F92),"-",$D$101/$F$98*F92)</f>
        <v>4914014.7368635982</v>
      </c>
      <c r="I92" s="503">
        <f>ABS((F96/D96*D95)-F95)/D95</f>
        <v>1.6109685606304408E-2</v>
      </c>
    </row>
    <row r="93" spans="1:12" ht="26.25" customHeight="1" x14ac:dyDescent="0.4">
      <c r="A93" s="264" t="s">
        <v>65</v>
      </c>
      <c r="B93" s="265">
        <v>1</v>
      </c>
      <c r="C93" s="331">
        <v>3</v>
      </c>
      <c r="D93" s="277">
        <v>5434068</v>
      </c>
      <c r="E93" s="278">
        <f>IF(ISBLANK(D93),"-",$D$101/$D$98*D93)</f>
        <v>4988521.2203198634</v>
      </c>
      <c r="F93" s="277">
        <v>5096443</v>
      </c>
      <c r="G93" s="279">
        <f>IF(ISBLANK(F93),"-",$D$101/$F$98*F93)</f>
        <v>4908476.807440511</v>
      </c>
      <c r="I93" s="503"/>
    </row>
    <row r="94" spans="1:12" ht="27" customHeight="1" x14ac:dyDescent="0.4">
      <c r="A94" s="264" t="s">
        <v>66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67</v>
      </c>
      <c r="B95" s="265">
        <v>1</v>
      </c>
      <c r="C95" s="349" t="s">
        <v>68</v>
      </c>
      <c r="D95" s="350">
        <f>AVERAGE(D91:D94)</f>
        <v>5441394.666666667</v>
      </c>
      <c r="E95" s="288">
        <f>AVERAGE(E91:E94)</f>
        <v>4995247.163414591</v>
      </c>
      <c r="F95" s="351">
        <f>AVERAGE(F91:F94)</f>
        <v>5098877</v>
      </c>
      <c r="G95" s="352">
        <f>AVERAGE(G91:G94)</f>
        <v>4910821.0370432585</v>
      </c>
    </row>
    <row r="96" spans="1:12" ht="26.25" customHeight="1" x14ac:dyDescent="0.4">
      <c r="A96" s="264" t="s">
        <v>69</v>
      </c>
      <c r="B96" s="250">
        <v>1</v>
      </c>
      <c r="C96" s="353" t="s">
        <v>110</v>
      </c>
      <c r="D96" s="354">
        <v>16.440000000000001</v>
      </c>
      <c r="E96" s="280"/>
      <c r="F96" s="292">
        <v>15.67</v>
      </c>
    </row>
    <row r="97" spans="1:10" ht="26.25" customHeight="1" x14ac:dyDescent="0.4">
      <c r="A97" s="264" t="s">
        <v>71</v>
      </c>
      <c r="B97" s="250">
        <v>1</v>
      </c>
      <c r="C97" s="355" t="s">
        <v>111</v>
      </c>
      <c r="D97" s="356">
        <f>D96*$B$87</f>
        <v>16.440000000000001</v>
      </c>
      <c r="E97" s="295"/>
      <c r="F97" s="294">
        <f>F96*$B$87</f>
        <v>15.67</v>
      </c>
    </row>
    <row r="98" spans="1:10" ht="19.5" customHeight="1" x14ac:dyDescent="0.3">
      <c r="A98" s="264" t="s">
        <v>73</v>
      </c>
      <c r="B98" s="357">
        <f>(B97/B96)*(B95/B94)*(B93/B92)*(B91/B90)*B89</f>
        <v>50</v>
      </c>
      <c r="C98" s="355" t="s">
        <v>112</v>
      </c>
      <c r="D98" s="358">
        <f>D97*$B$83/100</f>
        <v>16.339715999999999</v>
      </c>
      <c r="E98" s="298"/>
      <c r="F98" s="297">
        <f>F97*$B$83/100</f>
        <v>15.574413</v>
      </c>
    </row>
    <row r="99" spans="1:10" ht="19.5" customHeight="1" x14ac:dyDescent="0.3">
      <c r="A99" s="489" t="s">
        <v>75</v>
      </c>
      <c r="B99" s="504"/>
      <c r="C99" s="355" t="s">
        <v>113</v>
      </c>
      <c r="D99" s="359">
        <f>D98/$B$98</f>
        <v>0.32679431999999997</v>
      </c>
      <c r="E99" s="298"/>
      <c r="F99" s="301">
        <f>F98/$B$98</f>
        <v>0.31148826000000002</v>
      </c>
      <c r="G99" s="360"/>
      <c r="H99" s="290"/>
    </row>
    <row r="100" spans="1:10" ht="19.5" customHeight="1" x14ac:dyDescent="0.3">
      <c r="A100" s="491"/>
      <c r="B100" s="505"/>
      <c r="C100" s="355" t="s">
        <v>77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78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79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114</v>
      </c>
      <c r="D103" s="367">
        <f>AVERAGE(E91:E94,G91:G94)</f>
        <v>4953034.1002289243</v>
      </c>
      <c r="F103" s="310"/>
      <c r="G103" s="368"/>
      <c r="H103" s="290"/>
      <c r="J103" s="369"/>
    </row>
    <row r="104" spans="1:10" ht="18.75" x14ac:dyDescent="0.3">
      <c r="C104" s="333" t="s">
        <v>81</v>
      </c>
      <c r="D104" s="370">
        <f>STDEV(E91:E94,G91:G94)/D103</f>
        <v>9.3731840591991817E-3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115</v>
      </c>
      <c r="B107" s="263">
        <v>1000</v>
      </c>
      <c r="C107" s="410" t="s">
        <v>116</v>
      </c>
      <c r="D107" s="410" t="s">
        <v>60</v>
      </c>
      <c r="E107" s="410" t="s">
        <v>117</v>
      </c>
      <c r="F107" s="372" t="s">
        <v>118</v>
      </c>
    </row>
    <row r="108" spans="1:10" ht="26.25" customHeight="1" x14ac:dyDescent="0.4">
      <c r="A108" s="264" t="s">
        <v>119</v>
      </c>
      <c r="B108" s="265">
        <v>1</v>
      </c>
      <c r="C108" s="415">
        <v>1</v>
      </c>
      <c r="D108" s="416">
        <v>4973004</v>
      </c>
      <c r="E108" s="390">
        <f t="shared" ref="E108:E113" si="1">IF(ISBLANK(D108),"-",D108/$D$103*$D$100*$B$116)</f>
        <v>301.2095555592976</v>
      </c>
      <c r="F108" s="417">
        <f t="shared" ref="F108:F113" si="2">IF(ISBLANK(D108), "-", (E108/$B$56)*100)</f>
        <v>100.40318518643254</v>
      </c>
    </row>
    <row r="109" spans="1:10" ht="26.25" customHeight="1" x14ac:dyDescent="0.4">
      <c r="A109" s="264" t="s">
        <v>92</v>
      </c>
      <c r="B109" s="265">
        <v>1</v>
      </c>
      <c r="C109" s="411">
        <v>2</v>
      </c>
      <c r="D109" s="413">
        <v>4969277</v>
      </c>
      <c r="E109" s="391">
        <f t="shared" si="1"/>
        <v>300.98381513890592</v>
      </c>
      <c r="F109" s="418">
        <f t="shared" si="2"/>
        <v>100.32793837963531</v>
      </c>
    </row>
    <row r="110" spans="1:10" ht="26.25" customHeight="1" x14ac:dyDescent="0.4">
      <c r="A110" s="264" t="s">
        <v>93</v>
      </c>
      <c r="B110" s="265">
        <v>1</v>
      </c>
      <c r="C110" s="411">
        <v>3</v>
      </c>
      <c r="D110" s="413">
        <v>4979451</v>
      </c>
      <c r="E110" s="391">
        <f t="shared" si="1"/>
        <v>301.60004348263141</v>
      </c>
      <c r="F110" s="418">
        <f t="shared" si="2"/>
        <v>100.53334782754379</v>
      </c>
    </row>
    <row r="111" spans="1:10" ht="26.25" customHeight="1" x14ac:dyDescent="0.4">
      <c r="A111" s="264" t="s">
        <v>94</v>
      </c>
      <c r="B111" s="265">
        <v>1</v>
      </c>
      <c r="C111" s="411">
        <v>4</v>
      </c>
      <c r="D111" s="413">
        <v>4964563</v>
      </c>
      <c r="E111" s="391">
        <f t="shared" si="1"/>
        <v>300.6982931797628</v>
      </c>
      <c r="F111" s="418">
        <f t="shared" si="2"/>
        <v>100.23276439325426</v>
      </c>
    </row>
    <row r="112" spans="1:10" ht="26.25" customHeight="1" x14ac:dyDescent="0.4">
      <c r="A112" s="264" t="s">
        <v>95</v>
      </c>
      <c r="B112" s="265">
        <v>1</v>
      </c>
      <c r="C112" s="411">
        <v>5</v>
      </c>
      <c r="D112" s="413">
        <v>4981511</v>
      </c>
      <c r="E112" s="391">
        <f t="shared" si="1"/>
        <v>301.72481548853619</v>
      </c>
      <c r="F112" s="418">
        <f t="shared" si="2"/>
        <v>100.57493849617873</v>
      </c>
    </row>
    <row r="113" spans="1:10" ht="27" customHeight="1" x14ac:dyDescent="0.4">
      <c r="A113" s="264" t="s">
        <v>97</v>
      </c>
      <c r="B113" s="265">
        <v>1</v>
      </c>
      <c r="C113" s="412">
        <v>6</v>
      </c>
      <c r="D113" s="414">
        <v>4977880</v>
      </c>
      <c r="E113" s="392">
        <f t="shared" si="1"/>
        <v>301.50488968589542</v>
      </c>
      <c r="F113" s="419">
        <f t="shared" si="2"/>
        <v>100.50162989529848</v>
      </c>
    </row>
    <row r="114" spans="1:10" ht="27" customHeight="1" x14ac:dyDescent="0.4">
      <c r="A114" s="264" t="s">
        <v>98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99</v>
      </c>
      <c r="B115" s="265">
        <v>1</v>
      </c>
      <c r="C115" s="373"/>
      <c r="D115" s="397" t="s">
        <v>68</v>
      </c>
      <c r="E115" s="399">
        <f>AVERAGE(E108:E113)</f>
        <v>301.28690208917163</v>
      </c>
      <c r="F115" s="421">
        <f>AVERAGE(F108:F113)</f>
        <v>100.42896736305717</v>
      </c>
    </row>
    <row r="116" spans="1:10" ht="27" customHeight="1" x14ac:dyDescent="0.4">
      <c r="A116" s="264" t="s">
        <v>100</v>
      </c>
      <c r="B116" s="296">
        <f>(B115/B114)*(B113/B112)*(B111/B110)*(B109/B108)*B107</f>
        <v>1000</v>
      </c>
      <c r="C116" s="374"/>
      <c r="D116" s="398" t="s">
        <v>81</v>
      </c>
      <c r="E116" s="396">
        <f>STDEV(E108:E113)/E115</f>
        <v>1.3123225979693972E-3</v>
      </c>
      <c r="F116" s="375">
        <f>STDEV(F108:F113)/F115</f>
        <v>1.3123225979694072E-3</v>
      </c>
      <c r="I116" s="238"/>
    </row>
    <row r="117" spans="1:10" ht="27" customHeight="1" x14ac:dyDescent="0.4">
      <c r="A117" s="489" t="s">
        <v>75</v>
      </c>
      <c r="B117" s="490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491"/>
      <c r="B118" s="492"/>
      <c r="C118" s="238"/>
      <c r="D118" s="400"/>
      <c r="E118" s="517" t="s">
        <v>120</v>
      </c>
      <c r="F118" s="518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121</v>
      </c>
      <c r="E119" s="403">
        <f>MIN(E108:E113)</f>
        <v>300.6982931797628</v>
      </c>
      <c r="F119" s="422">
        <f>MIN(F108:F113)</f>
        <v>100.23276439325426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122</v>
      </c>
      <c r="E120" s="404">
        <f>MAX(E108:E113)</f>
        <v>301.72481548853619</v>
      </c>
      <c r="F120" s="423">
        <f>MAX(F108:F113)</f>
        <v>100.57493849617873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103</v>
      </c>
      <c r="B124" s="337" t="s">
        <v>123</v>
      </c>
      <c r="C124" s="493" t="str">
        <f>B26</f>
        <v>Lamivudine</v>
      </c>
      <c r="D124" s="493"/>
      <c r="E124" s="338" t="s">
        <v>124</v>
      </c>
      <c r="F124" s="338"/>
      <c r="G124" s="424">
        <f>F115</f>
        <v>100.42896736305717</v>
      </c>
      <c r="H124" s="238"/>
      <c r="I124" s="238"/>
    </row>
    <row r="125" spans="1:10" ht="45.75" customHeight="1" x14ac:dyDescent="0.65">
      <c r="A125" s="248"/>
      <c r="B125" s="337" t="s">
        <v>125</v>
      </c>
      <c r="C125" s="249" t="s">
        <v>126</v>
      </c>
      <c r="D125" s="424">
        <f>MIN(F108:F113)</f>
        <v>100.23276439325426</v>
      </c>
      <c r="E125" s="349" t="s">
        <v>127</v>
      </c>
      <c r="F125" s="424">
        <f>MAX(F108:F113)</f>
        <v>100.57493849617873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94" t="s">
        <v>23</v>
      </c>
      <c r="C127" s="494"/>
      <c r="E127" s="344" t="s">
        <v>24</v>
      </c>
      <c r="F127" s="379"/>
      <c r="G127" s="494" t="s">
        <v>25</v>
      </c>
      <c r="H127" s="494"/>
    </row>
    <row r="128" spans="1:10" ht="69.95" customHeight="1" x14ac:dyDescent="0.3">
      <c r="A128" s="380" t="s">
        <v>26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27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Lamivudine</vt:lpstr>
      <vt:lpstr>SST TDF</vt:lpstr>
      <vt:lpstr>Uniformity</vt:lpstr>
      <vt:lpstr>Tenofovir Disoproxil Fumarate</vt:lpstr>
      <vt:lpstr>Lamivudine</vt:lpstr>
      <vt:lpstr>Lamivudine!Print_Area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2017-10-05T07:10:08Z</cp:lastPrinted>
  <dcterms:created xsi:type="dcterms:W3CDTF">2005-07-05T10:19:27Z</dcterms:created>
  <dcterms:modified xsi:type="dcterms:W3CDTF">2017-10-05T07:10:13Z</dcterms:modified>
</cp:coreProperties>
</file>