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3"/>
  </bookViews>
  <sheets>
    <sheet name="SST TDF" sheetId="5" r:id="rId1"/>
    <sheet name="SST LAM" sheetId="6" r:id="rId2"/>
    <sheet name="Uniformity" sheetId="2" r:id="rId3"/>
    <sheet name="Tenofovir Disoproxil Fumarate" sheetId="3" r:id="rId4"/>
    <sheet name="Lamivudine" sheetId="4" r:id="rId5"/>
  </sheets>
  <definedNames>
    <definedName name="_xlnm.Print_Area" localSheetId="4">Lamivudine!$A$1:$I$129</definedName>
    <definedName name="_xlnm.Print_Area" localSheetId="3">'Tenofovir Disoproxil Fumarate'!$A$1:$I$129</definedName>
    <definedName name="_xlnm.Print_Area" localSheetId="2">Uniformity!$A$12:$J$54</definedName>
  </definedNames>
  <calcPr calcId="145621"/>
</workbook>
</file>

<file path=xl/calcChain.xml><?xml version="1.0" encoding="utf-8"?>
<calcChain xmlns="http://schemas.openxmlformats.org/spreadsheetml/2006/main">
  <c r="E51" i="5" l="1"/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F51" i="5"/>
  <c r="D51" i="5"/>
  <c r="C51" i="5"/>
  <c r="B51" i="5"/>
  <c r="B52" i="5" s="1"/>
  <c r="B32" i="5"/>
  <c r="F30" i="5"/>
  <c r="E30" i="5"/>
  <c r="D30" i="5"/>
  <c r="C30" i="5"/>
  <c r="B30" i="5"/>
  <c r="B31" i="5" s="1"/>
  <c r="B21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C19" i="2"/>
  <c r="D37" i="2" l="1"/>
  <c r="D41" i="2"/>
  <c r="D33" i="2"/>
  <c r="D25" i="2"/>
  <c r="D29" i="2"/>
  <c r="I39" i="3"/>
  <c r="I92" i="4"/>
  <c r="D101" i="4"/>
  <c r="I92" i="3"/>
  <c r="D101" i="3"/>
  <c r="D102" i="3" s="1"/>
  <c r="I39" i="4"/>
  <c r="F45" i="4"/>
  <c r="F46" i="4" s="1"/>
  <c r="F98" i="4"/>
  <c r="F99" i="4" s="1"/>
  <c r="D97" i="3"/>
  <c r="D98" i="3" s="1"/>
  <c r="E92" i="3" s="1"/>
  <c r="D49" i="3"/>
  <c r="D45" i="3"/>
  <c r="E39" i="3" s="1"/>
  <c r="D49" i="4"/>
  <c r="E91" i="4"/>
  <c r="D102" i="4"/>
  <c r="D46" i="3"/>
  <c r="F98" i="3"/>
  <c r="G94" i="3" s="1"/>
  <c r="B69" i="4"/>
  <c r="D27" i="2"/>
  <c r="D31" i="2"/>
  <c r="D35" i="2"/>
  <c r="D39" i="2"/>
  <c r="D43" i="2"/>
  <c r="C49" i="2"/>
  <c r="F44" i="3"/>
  <c r="F45" i="3" s="1"/>
  <c r="G38" i="3" s="1"/>
  <c r="G92" i="3"/>
  <c r="D97" i="4"/>
  <c r="D98" i="4" s="1"/>
  <c r="D99" i="4" s="1"/>
  <c r="D24" i="2"/>
  <c r="D28" i="2"/>
  <c r="D32" i="2"/>
  <c r="D36" i="2"/>
  <c r="D40" i="2"/>
  <c r="D49" i="2"/>
  <c r="B57" i="3"/>
  <c r="B69" i="3" s="1"/>
  <c r="D44" i="4"/>
  <c r="D45" i="4" s="1"/>
  <c r="D46" i="4" s="1"/>
  <c r="C50" i="2"/>
  <c r="D26" i="2"/>
  <c r="D30" i="2"/>
  <c r="D34" i="2"/>
  <c r="D38" i="2"/>
  <c r="D42" i="2"/>
  <c r="B49" i="2"/>
  <c r="D50" i="2"/>
  <c r="E93" i="4" l="1"/>
  <c r="G93" i="3"/>
  <c r="G38" i="4"/>
  <c r="G40" i="4"/>
  <c r="G41" i="4"/>
  <c r="G39" i="4"/>
  <c r="E38" i="4"/>
  <c r="G91" i="4"/>
  <c r="G92" i="4"/>
  <c r="G93" i="4"/>
  <c r="G94" i="4"/>
  <c r="E40" i="4"/>
  <c r="E41" i="4"/>
  <c r="G39" i="3"/>
  <c r="E40" i="3"/>
  <c r="E38" i="3"/>
  <c r="E41" i="3"/>
  <c r="E94" i="3"/>
  <c r="D99" i="3"/>
  <c r="E93" i="3"/>
  <c r="G41" i="3"/>
  <c r="F46" i="3"/>
  <c r="G40" i="3"/>
  <c r="G91" i="3"/>
  <c r="F99" i="3"/>
  <c r="E92" i="4"/>
  <c r="E94" i="4"/>
  <c r="E39" i="4"/>
  <c r="E91" i="3"/>
  <c r="G95" i="3" l="1"/>
  <c r="D105" i="4"/>
  <c r="E95" i="4"/>
  <c r="D103" i="4"/>
  <c r="E109" i="4" s="1"/>
  <c r="F109" i="4" s="1"/>
  <c r="G42" i="4"/>
  <c r="D50" i="4"/>
  <c r="G65" i="4" s="1"/>
  <c r="H65" i="4" s="1"/>
  <c r="E42" i="4"/>
  <c r="G95" i="4"/>
  <c r="D52" i="4"/>
  <c r="E42" i="3"/>
  <c r="D52" i="3"/>
  <c r="D50" i="3"/>
  <c r="G71" i="3" s="1"/>
  <c r="H71" i="3" s="1"/>
  <c r="G42" i="3"/>
  <c r="E95" i="3"/>
  <c r="D105" i="3"/>
  <c r="D103" i="3"/>
  <c r="E110" i="4" l="1"/>
  <c r="F110" i="4" s="1"/>
  <c r="E112" i="4"/>
  <c r="F112" i="4" s="1"/>
  <c r="E111" i="4"/>
  <c r="F111" i="4" s="1"/>
  <c r="E113" i="4"/>
  <c r="F113" i="4" s="1"/>
  <c r="D104" i="4"/>
  <c r="E108" i="4"/>
  <c r="F108" i="4" s="1"/>
  <c r="G61" i="4"/>
  <c r="H61" i="4" s="1"/>
  <c r="G64" i="4"/>
  <c r="H64" i="4" s="1"/>
  <c r="G67" i="4"/>
  <c r="H67" i="4" s="1"/>
  <c r="G66" i="4"/>
  <c r="H66" i="4" s="1"/>
  <c r="G70" i="4"/>
  <c r="H70" i="4" s="1"/>
  <c r="G68" i="4"/>
  <c r="H68" i="4" s="1"/>
  <c r="D51" i="4"/>
  <c r="G60" i="4"/>
  <c r="H60" i="4" s="1"/>
  <c r="G69" i="4"/>
  <c r="H69" i="4" s="1"/>
  <c r="G63" i="4"/>
  <c r="H63" i="4" s="1"/>
  <c r="G62" i="4"/>
  <c r="H62" i="4" s="1"/>
  <c r="G71" i="4"/>
  <c r="H71" i="4" s="1"/>
  <c r="G70" i="3"/>
  <c r="H70" i="3" s="1"/>
  <c r="D51" i="3"/>
  <c r="G66" i="3"/>
  <c r="H66" i="3" s="1"/>
  <c r="G69" i="3"/>
  <c r="H69" i="3" s="1"/>
  <c r="G63" i="3"/>
  <c r="H63" i="3" s="1"/>
  <c r="G60" i="3"/>
  <c r="H60" i="3" s="1"/>
  <c r="G68" i="3"/>
  <c r="H68" i="3" s="1"/>
  <c r="G61" i="3"/>
  <c r="H61" i="3" s="1"/>
  <c r="G65" i="3"/>
  <c r="H65" i="3" s="1"/>
  <c r="G64" i="3"/>
  <c r="H64" i="3" s="1"/>
  <c r="G67" i="3"/>
  <c r="H67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20" i="4" l="1"/>
  <c r="E119" i="4"/>
  <c r="E115" i="4"/>
  <c r="E116" i="4" s="1"/>
  <c r="E117" i="4"/>
  <c r="G72" i="4"/>
  <c r="G73" i="4" s="1"/>
  <c r="G74" i="4"/>
  <c r="G72" i="3"/>
  <c r="G73" i="3" s="1"/>
  <c r="G74" i="3"/>
  <c r="H74" i="4"/>
  <c r="H72" i="4"/>
  <c r="F125" i="4"/>
  <c r="F120" i="4"/>
  <c r="F117" i="4"/>
  <c r="D125" i="4"/>
  <c r="F115" i="4"/>
  <c r="F119" i="4"/>
  <c r="E115" i="3"/>
  <c r="E116" i="3" s="1"/>
  <c r="E119" i="3"/>
  <c r="E120" i="3"/>
  <c r="E117" i="3"/>
  <c r="F108" i="3"/>
  <c r="H74" i="3"/>
  <c r="H72" i="3"/>
  <c r="G76" i="4" l="1"/>
  <c r="H73" i="4"/>
  <c r="G76" i="3"/>
  <c r="H73" i="3"/>
  <c r="G124" i="4"/>
  <c r="F116" i="4"/>
  <c r="F119" i="3"/>
  <c r="F125" i="3"/>
  <c r="F120" i="3"/>
  <c r="F117" i="3"/>
  <c r="D125" i="3"/>
  <c r="F115" i="3"/>
  <c r="G124" i="3" l="1"/>
  <c r="F116" i="3"/>
</calcChain>
</file>

<file path=xl/sharedStrings.xml><?xml version="1.0" encoding="utf-8"?>
<sst xmlns="http://schemas.openxmlformats.org/spreadsheetml/2006/main" count="454" uniqueCount="141">
  <si>
    <t>HPLC System Suitability Report</t>
  </si>
  <si>
    <t>Analysis Data</t>
  </si>
  <si>
    <t>Assay</t>
  </si>
  <si>
    <t>Sample(s)</t>
  </si>
  <si>
    <t>Reference Substance:</t>
  </si>
  <si>
    <t>LAMIVUDINE AND TENOFOVIR DISOPROXIL FUMARATE TABLETS 300 MG/ 300 MG</t>
  </si>
  <si>
    <t>% age Purity:</t>
  </si>
  <si>
    <t>NDQB201707068</t>
  </si>
  <si>
    <t>Weight (mg):</t>
  </si>
  <si>
    <t>Lamivudine and Tenofovir Disoproxil Fumarate</t>
  </si>
  <si>
    <t>Standard Conc (mg/mL):</t>
  </si>
  <si>
    <t>Each film coated tablet contains: Tenofovir disoproxil fumarate 300 mg &amp; Lamivudine USP 300 mg.</t>
  </si>
  <si>
    <t>2017-07-20 11:55:20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</si>
  <si>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</si>
  <si>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</si>
  <si>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</si>
  <si>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</si>
  <si>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</si>
  <si>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</si>
  <si>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</si>
  <si>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</si>
  <si>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</si>
  <si>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</si>
  <si>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</si>
  <si>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</si>
  <si>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</si>
  <si>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</si>
  <si>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</si>
  <si>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</si>
  <si>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</si>
  <si>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</si>
  <si>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</si>
  <si>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</si>
  <si>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</si>
  <si>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</si>
  <si>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</si>
  <si>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</si>
  <si>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</si>
  <si>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</si>
  <si>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</si>
  <si>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</si>
  <si>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</si>
  <si>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</si>
  <si>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</si>
  <si>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</si>
  <si>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</si>
  <si>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</si>
  <si>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</si>
  <si>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</si>
  <si>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</si>
  <si>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</si>
  <si>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</si>
  <si>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</si>
  <si>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</si>
  <si>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</si>
  <si>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</si>
  <si>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</si>
  <si>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</si>
  <si>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</si>
  <si>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</si>
  <si>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</si>
  <si>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</si>
  <si>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</si>
  <si>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</si>
  <si>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</si>
  <si>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</si>
  <si>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</si>
  <si>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</si>
  <si>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</si>
  <si>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</si>
  <si>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</si>
  <si>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</si>
  <si>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</si>
  <si>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</si>
  <si>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</si>
  <si>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</si>
  <si>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</si>
  <si>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</si>
  <si>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</si>
  <si>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</si>
  <si>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</si>
  <si>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</si>
  <si>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</si>
  <si>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</si>
  <si>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</si>
  <si>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</si>
  <si>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</si>
  <si>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</si>
  <si>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</si>
  <si>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</si>
  <si>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</si>
  <si>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</si>
  <si>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</si>
  <si>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</si>
  <si>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</si>
  <si>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</si>
  <si>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</si>
  <si>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</si>
  <si>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</si>
  <si>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</si>
  <si>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</si>
  <si>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</si>
  <si>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</si>
  <si>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</si>
  <si>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</si>
  <si>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</si>
  <si>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</si>
  <si>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</si>
  <si>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</si>
  <si>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</si>
  <si>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</si>
  <si>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</si>
  <si>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</si>
  <si>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</si>
  <si>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</si>
  <si>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</si>
  <si>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</si>
  <si>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</si>
  <si>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</si>
  <si>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</si>
  <si>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</si>
  <si>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</si>
  <si>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</si>
  <si>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</si>
  <si>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</si>
  <si>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</si>
  <si>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</si>
  <si>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</si>
  <si>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</si>
  <si>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</si>
  <si>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</si>
  <si>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Tenofovir Disoproxil Fumarate</t>
  </si>
  <si>
    <t>T11-10</t>
  </si>
  <si>
    <t xml:space="preserve">Lamivudine </t>
  </si>
  <si>
    <t>L3-10</t>
  </si>
  <si>
    <t xml:space="preserve">                         Tenofovir Disoproxil Fumarate </t>
  </si>
  <si>
    <t>Resolution(USP)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</si>
  <si>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10000</t>
    </r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</si>
  <si>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2000</t>
    </r>
  </si>
  <si>
    <t>TENOF0VIR DISOPROXIL FUMARATE/ LAMIVUDINE TABLETS 300 MG/300 MG</t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</si>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</sst>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5" fontId="2" fillId="2" borderId="7" xfId="1" applyNumberFormat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25" workbookViewId="0">
      <selection activeCell="F61" sqref="F61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5" width="25.85546875" style="427" customWidth="1"/>
    <col min="6" max="6" width="25.7109375" style="427" customWidth="1"/>
    <col min="7" max="7" width="23.140625" style="427" customWidth="1"/>
    <col min="8" max="8" width="28.42578125" style="427" customWidth="1"/>
    <col min="9" max="9" width="21.5703125" style="427" customWidth="1"/>
    <col min="10" max="10" width="9.140625" style="427" customWidth="1"/>
    <col min="11" max="16384" width="9.140625" style="464"/>
  </cols>
  <sheetData>
    <row r="14" spans="1:7" ht="15" customHeight="1" x14ac:dyDescent="0.3">
      <c r="A14" s="426"/>
      <c r="C14" s="428"/>
      <c r="G14" s="428"/>
    </row>
    <row r="15" spans="1:7" ht="18.75" customHeight="1" x14ac:dyDescent="0.3">
      <c r="A15" s="472" t="s">
        <v>0</v>
      </c>
      <c r="B15" s="472"/>
      <c r="C15" s="472"/>
      <c r="D15" s="472"/>
      <c r="E15" s="472"/>
      <c r="F15" s="472"/>
    </row>
    <row r="16" spans="1:7" ht="16.5" customHeight="1" x14ac:dyDescent="0.3">
      <c r="A16" s="429" t="s">
        <v>1</v>
      </c>
      <c r="B16" s="430" t="s">
        <v>2</v>
      </c>
    </row>
    <row r="17" spans="1:6" ht="16.5" customHeight="1" x14ac:dyDescent="0.3">
      <c r="A17" s="431" t="s">
        <v>3</v>
      </c>
      <c r="B17" s="431" t="s">
        <v>139</v>
      </c>
      <c r="D17" s="432"/>
      <c r="E17" s="432"/>
      <c r="F17" s="433"/>
    </row>
    <row r="18" spans="1:6" ht="16.5" customHeight="1" x14ac:dyDescent="0.3">
      <c r="A18" s="434" t="s">
        <v>4</v>
      </c>
      <c r="B18" s="435" t="s">
        <v>135</v>
      </c>
      <c r="C18" s="433"/>
      <c r="D18" s="433"/>
      <c r="E18" s="433"/>
      <c r="F18" s="433"/>
    </row>
    <row r="19" spans="1:6" ht="16.5" customHeight="1" x14ac:dyDescent="0.3">
      <c r="A19" s="434" t="s">
        <v>6</v>
      </c>
      <c r="B19" s="435">
        <v>99.54</v>
      </c>
      <c r="C19" s="433"/>
      <c r="D19" s="433"/>
      <c r="E19" s="433"/>
      <c r="F19" s="433"/>
    </row>
    <row r="20" spans="1:6" ht="16.5" customHeight="1" x14ac:dyDescent="0.3">
      <c r="A20" s="431" t="s">
        <v>8</v>
      </c>
      <c r="B20" s="435">
        <v>11.73</v>
      </c>
      <c r="C20" s="433"/>
      <c r="D20" s="433"/>
      <c r="E20" s="433"/>
      <c r="F20" s="433"/>
    </row>
    <row r="21" spans="1:6" ht="16.5" customHeight="1" x14ac:dyDescent="0.3">
      <c r="A21" s="431" t="s">
        <v>10</v>
      </c>
      <c r="B21" s="436">
        <f>11.73/100</f>
        <v>0.1173</v>
      </c>
      <c r="C21" s="433"/>
      <c r="D21" s="433"/>
      <c r="E21" s="433"/>
      <c r="F21" s="433"/>
    </row>
    <row r="22" spans="1:6" ht="15.75" customHeight="1" x14ac:dyDescent="0.25">
      <c r="A22" s="433"/>
      <c r="B22" s="433"/>
      <c r="C22" s="433"/>
      <c r="D22" s="433"/>
      <c r="E22" s="433"/>
      <c r="F22" s="433"/>
    </row>
    <row r="23" spans="1:6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136</v>
      </c>
      <c r="F23" s="437" t="s">
        <v>17</v>
      </c>
    </row>
    <row r="24" spans="1:6" ht="16.5" customHeight="1" x14ac:dyDescent="0.3">
      <c r="A24" s="439">
        <v>1</v>
      </c>
      <c r="B24" s="440">
        <v>11502552</v>
      </c>
      <c r="C24" s="440">
        <v>45300.9</v>
      </c>
      <c r="D24" s="441">
        <v>1</v>
      </c>
      <c r="E24" s="441">
        <v>41.8</v>
      </c>
      <c r="F24" s="442">
        <v>15.9</v>
      </c>
    </row>
    <row r="25" spans="1:6" ht="16.5" customHeight="1" x14ac:dyDescent="0.3">
      <c r="A25" s="439">
        <v>2</v>
      </c>
      <c r="B25" s="440">
        <v>11518633</v>
      </c>
      <c r="C25" s="440">
        <v>45418.400000000001</v>
      </c>
      <c r="D25" s="441">
        <v>1</v>
      </c>
      <c r="E25" s="441">
        <v>41.8</v>
      </c>
      <c r="F25" s="441">
        <v>15.9</v>
      </c>
    </row>
    <row r="26" spans="1:6" ht="16.5" customHeight="1" x14ac:dyDescent="0.3">
      <c r="A26" s="439">
        <v>3</v>
      </c>
      <c r="B26" s="440">
        <v>11512795</v>
      </c>
      <c r="C26" s="440">
        <v>45503.8</v>
      </c>
      <c r="D26" s="441">
        <v>1</v>
      </c>
      <c r="E26" s="441">
        <v>41.7</v>
      </c>
      <c r="F26" s="441">
        <v>15.9</v>
      </c>
    </row>
    <row r="27" spans="1:6" ht="16.5" customHeight="1" x14ac:dyDescent="0.3">
      <c r="A27" s="439">
        <v>4</v>
      </c>
      <c r="B27" s="440">
        <v>11498961</v>
      </c>
      <c r="C27" s="440">
        <v>45607.199999999997</v>
      </c>
      <c r="D27" s="441">
        <v>1</v>
      </c>
      <c r="E27" s="441">
        <v>41.6</v>
      </c>
      <c r="F27" s="441">
        <v>15.9</v>
      </c>
    </row>
    <row r="28" spans="1:6" ht="16.5" customHeight="1" x14ac:dyDescent="0.3">
      <c r="A28" s="439">
        <v>5</v>
      </c>
      <c r="B28" s="440">
        <v>11506744</v>
      </c>
      <c r="C28" s="440">
        <v>45723.9</v>
      </c>
      <c r="D28" s="441">
        <v>1</v>
      </c>
      <c r="E28" s="441">
        <v>41.7</v>
      </c>
      <c r="F28" s="441">
        <v>15.9</v>
      </c>
    </row>
    <row r="29" spans="1:6" ht="16.5" customHeight="1" x14ac:dyDescent="0.3">
      <c r="A29" s="439">
        <v>6</v>
      </c>
      <c r="B29" s="443">
        <v>11639402</v>
      </c>
      <c r="C29" s="443">
        <v>46866.3</v>
      </c>
      <c r="D29" s="444">
        <v>1</v>
      </c>
      <c r="E29" s="444">
        <v>42.3</v>
      </c>
      <c r="F29" s="444">
        <v>15.9</v>
      </c>
    </row>
    <row r="30" spans="1:6" ht="16.5" customHeight="1" x14ac:dyDescent="0.3">
      <c r="A30" s="445" t="s">
        <v>18</v>
      </c>
      <c r="B30" s="446">
        <f>AVERAGE(B24:B29)</f>
        <v>11529847.833333334</v>
      </c>
      <c r="C30" s="447">
        <f>AVERAGE(C24:C29)</f>
        <v>45736.75</v>
      </c>
      <c r="D30" s="448">
        <f>AVERAGE(D24:D29)</f>
        <v>1</v>
      </c>
      <c r="E30" s="448">
        <f>AVERAGE(E24:E29)</f>
        <v>41.81666666666667</v>
      </c>
      <c r="F30" s="448">
        <f>AVERAGE(F24:F29)</f>
        <v>15.9</v>
      </c>
    </row>
    <row r="31" spans="1:6" ht="16.5" customHeight="1" x14ac:dyDescent="0.3">
      <c r="A31" s="449" t="s">
        <v>19</v>
      </c>
      <c r="B31" s="450">
        <f>(STDEV(B24:B29)/B30)</f>
        <v>4.6949714771942616E-3</v>
      </c>
      <c r="C31" s="451"/>
      <c r="D31" s="451"/>
      <c r="E31" s="451"/>
      <c r="F31" s="452"/>
    </row>
    <row r="32" spans="1:6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6"/>
      <c r="F32" s="457"/>
    </row>
    <row r="33" spans="1:6" s="427" customFormat="1" ht="15.75" customHeight="1" x14ac:dyDescent="0.25">
      <c r="A33" s="433"/>
      <c r="B33" s="433"/>
      <c r="C33" s="433"/>
      <c r="D33" s="433"/>
      <c r="E33" s="433"/>
      <c r="F33" s="433"/>
    </row>
    <row r="34" spans="1:6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  <c r="F34" s="459"/>
    </row>
    <row r="35" spans="1:6" ht="16.5" customHeight="1" x14ac:dyDescent="0.3">
      <c r="A35" s="434"/>
      <c r="B35" s="458" t="s">
        <v>137</v>
      </c>
      <c r="C35" s="459"/>
      <c r="D35" s="459"/>
      <c r="E35" s="459"/>
      <c r="F35" s="459"/>
    </row>
    <row r="36" spans="1:6" ht="16.5" customHeight="1" x14ac:dyDescent="0.3">
      <c r="A36" s="434"/>
      <c r="B36" s="458" t="s">
        <v>24</v>
      </c>
      <c r="C36" s="459"/>
      <c r="D36" s="459"/>
      <c r="E36" s="459"/>
      <c r="F36" s="459"/>
    </row>
    <row r="37" spans="1:6" ht="15.75" customHeight="1" x14ac:dyDescent="0.25">
      <c r="A37" s="433"/>
      <c r="B37" s="433"/>
      <c r="C37" s="433"/>
      <c r="D37" s="433"/>
      <c r="E37" s="433"/>
      <c r="F37" s="433"/>
    </row>
    <row r="38" spans="1:6" ht="16.5" customHeight="1" x14ac:dyDescent="0.3">
      <c r="A38" s="429" t="s">
        <v>1</v>
      </c>
      <c r="B38" s="430" t="s">
        <v>25</v>
      </c>
    </row>
    <row r="39" spans="1:6" ht="16.5" customHeight="1" x14ac:dyDescent="0.3">
      <c r="A39" s="434" t="s">
        <v>4</v>
      </c>
      <c r="B39" s="435" t="s">
        <v>135</v>
      </c>
      <c r="C39" s="433"/>
      <c r="D39" s="433"/>
      <c r="E39" s="433"/>
      <c r="F39" s="433"/>
    </row>
    <row r="40" spans="1:6" ht="16.5" customHeight="1" x14ac:dyDescent="0.3">
      <c r="A40" s="434" t="s">
        <v>6</v>
      </c>
      <c r="B40" s="435">
        <v>99.54</v>
      </c>
      <c r="C40" s="433"/>
      <c r="D40" s="433"/>
      <c r="E40" s="433"/>
      <c r="F40" s="433"/>
    </row>
    <row r="41" spans="1:6" ht="16.5" customHeight="1" x14ac:dyDescent="0.3">
      <c r="A41" s="431" t="s">
        <v>8</v>
      </c>
      <c r="B41" s="435">
        <v>15.56</v>
      </c>
      <c r="C41" s="433"/>
      <c r="D41" s="433"/>
      <c r="E41" s="433"/>
      <c r="F41" s="433"/>
    </row>
    <row r="42" spans="1:6" ht="16.5" customHeight="1" x14ac:dyDescent="0.3">
      <c r="A42" s="431" t="s">
        <v>10</v>
      </c>
      <c r="B42" s="436">
        <v>0.31120000000000003</v>
      </c>
      <c r="C42" s="433"/>
      <c r="D42" s="433"/>
      <c r="E42" s="433"/>
      <c r="F42" s="433"/>
    </row>
    <row r="43" spans="1:6" ht="15.75" customHeight="1" x14ac:dyDescent="0.25">
      <c r="A43" s="433"/>
      <c r="B43" s="433"/>
      <c r="C43" s="433"/>
      <c r="D43" s="433"/>
      <c r="E43" s="433"/>
      <c r="F43" s="433"/>
    </row>
    <row r="44" spans="1:6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136</v>
      </c>
      <c r="F44" s="437" t="s">
        <v>17</v>
      </c>
    </row>
    <row r="45" spans="1:6" ht="16.5" customHeight="1" x14ac:dyDescent="0.3">
      <c r="A45" s="439">
        <v>1</v>
      </c>
      <c r="B45" s="440">
        <v>3835374</v>
      </c>
      <c r="C45" s="440">
        <v>9187</v>
      </c>
      <c r="D45" s="441">
        <v>1.23</v>
      </c>
      <c r="E45" s="441">
        <v>14.44</v>
      </c>
      <c r="F45" s="442">
        <v>7.64</v>
      </c>
    </row>
    <row r="46" spans="1:6" ht="16.5" customHeight="1" x14ac:dyDescent="0.3">
      <c r="A46" s="439">
        <v>2</v>
      </c>
      <c r="B46" s="440">
        <v>3848858</v>
      </c>
      <c r="C46" s="440">
        <v>9187</v>
      </c>
      <c r="D46" s="441">
        <v>1.23</v>
      </c>
      <c r="E46" s="441">
        <v>14.42</v>
      </c>
      <c r="F46" s="441">
        <v>7.64</v>
      </c>
    </row>
    <row r="47" spans="1:6" ht="16.5" customHeight="1" x14ac:dyDescent="0.3">
      <c r="A47" s="439">
        <v>3</v>
      </c>
      <c r="B47" s="440">
        <v>3833946</v>
      </c>
      <c r="C47" s="440">
        <v>9406</v>
      </c>
      <c r="D47" s="441">
        <v>1.24</v>
      </c>
      <c r="E47" s="441">
        <v>14.49</v>
      </c>
      <c r="F47" s="441">
        <v>7.64</v>
      </c>
    </row>
    <row r="48" spans="1:6" ht="16.5" customHeight="1" x14ac:dyDescent="0.3">
      <c r="A48" s="439">
        <v>4</v>
      </c>
      <c r="B48" s="440">
        <v>3839500</v>
      </c>
      <c r="C48" s="440">
        <v>9129</v>
      </c>
      <c r="D48" s="441">
        <v>1.21</v>
      </c>
      <c r="E48" s="441">
        <v>14.39</v>
      </c>
      <c r="F48" s="441">
        <v>7.65</v>
      </c>
    </row>
    <row r="49" spans="1:8" ht="16.5" customHeight="1" x14ac:dyDescent="0.3">
      <c r="A49" s="439">
        <v>5</v>
      </c>
      <c r="B49" s="440">
        <v>3832924</v>
      </c>
      <c r="C49" s="440">
        <v>9233</v>
      </c>
      <c r="D49" s="441">
        <v>1.22</v>
      </c>
      <c r="E49" s="441">
        <v>14.37</v>
      </c>
      <c r="F49" s="441">
        <v>7.65</v>
      </c>
    </row>
    <row r="50" spans="1:8" ht="16.5" customHeight="1" x14ac:dyDescent="0.3">
      <c r="A50" s="439">
        <v>6</v>
      </c>
      <c r="B50" s="443">
        <v>3840389</v>
      </c>
      <c r="C50" s="443">
        <v>9106</v>
      </c>
      <c r="D50" s="444">
        <v>1.25</v>
      </c>
      <c r="E50" s="444">
        <v>14.27</v>
      </c>
      <c r="F50" s="444">
        <v>7.65</v>
      </c>
    </row>
    <row r="51" spans="1:8" ht="16.5" customHeight="1" x14ac:dyDescent="0.3">
      <c r="A51" s="445" t="s">
        <v>18</v>
      </c>
      <c r="B51" s="446">
        <f>AVERAGE(B45:B50)</f>
        <v>3838498.5</v>
      </c>
      <c r="C51" s="447">
        <f>AVERAGE(C45:C50)</f>
        <v>9208</v>
      </c>
      <c r="D51" s="448">
        <f>AVERAGE(D45:D50)</f>
        <v>1.23</v>
      </c>
      <c r="E51" s="448">
        <f>AVERAGE(E45:E50)</f>
        <v>14.396666666666667</v>
      </c>
      <c r="F51" s="448">
        <f>AVERAGE(F45:F50)</f>
        <v>7.6449999999999996</v>
      </c>
    </row>
    <row r="52" spans="1:8" ht="16.5" customHeight="1" x14ac:dyDescent="0.3">
      <c r="A52" s="449" t="s">
        <v>19</v>
      </c>
      <c r="B52" s="450">
        <f>(STDEV(B45:B50)/B51)</f>
        <v>1.5344477023197872E-3</v>
      </c>
      <c r="C52" s="451"/>
      <c r="D52" s="451"/>
      <c r="E52" s="451"/>
      <c r="F52" s="452"/>
    </row>
    <row r="53" spans="1:8" s="427" customFormat="1" ht="16.5" customHeight="1" x14ac:dyDescent="0.3">
      <c r="A53" s="453" t="s">
        <v>20</v>
      </c>
      <c r="B53" s="454">
        <f>COUNT(B45:B50)</f>
        <v>6</v>
      </c>
      <c r="C53" s="455"/>
      <c r="D53" s="456"/>
      <c r="E53" s="456"/>
      <c r="F53" s="457"/>
    </row>
    <row r="54" spans="1:8" s="427" customFormat="1" ht="15.75" customHeight="1" x14ac:dyDescent="0.25">
      <c r="A54" s="433"/>
      <c r="B54" s="433"/>
      <c r="C54" s="433"/>
      <c r="D54" s="433"/>
      <c r="E54" s="433"/>
      <c r="F54" s="433"/>
    </row>
    <row r="55" spans="1:8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  <c r="F55" s="459"/>
    </row>
    <row r="56" spans="1:8" ht="16.5" customHeight="1" x14ac:dyDescent="0.3">
      <c r="A56" s="434"/>
      <c r="B56" s="458" t="s">
        <v>23</v>
      </c>
      <c r="C56" s="459"/>
      <c r="D56" s="459"/>
      <c r="E56" s="459"/>
      <c r="F56" s="459"/>
    </row>
    <row r="57" spans="1:8" ht="16.5" customHeight="1" x14ac:dyDescent="0.3">
      <c r="A57" s="434"/>
      <c r="B57" s="458" t="s">
        <v>24</v>
      </c>
      <c r="C57" s="459"/>
      <c r="D57" s="459"/>
      <c r="E57" s="459"/>
      <c r="F57" s="459"/>
    </row>
    <row r="58" spans="1:8" ht="14.25" customHeight="1" thickBot="1" x14ac:dyDescent="0.3">
      <c r="A58" s="460"/>
      <c r="B58" s="461"/>
      <c r="D58" s="462"/>
      <c r="E58" s="463"/>
      <c r="G58" s="464"/>
      <c r="H58" s="464"/>
    </row>
    <row r="59" spans="1:8" ht="15" customHeight="1" x14ac:dyDescent="0.3">
      <c r="B59" s="473" t="s">
        <v>26</v>
      </c>
      <c r="C59" s="473"/>
      <c r="F59" s="465" t="s">
        <v>27</v>
      </c>
      <c r="G59" s="466"/>
      <c r="H59" s="465" t="s">
        <v>28</v>
      </c>
    </row>
    <row r="60" spans="1:8" ht="15" customHeight="1" x14ac:dyDescent="0.3">
      <c r="A60" s="467" t="s">
        <v>29</v>
      </c>
      <c r="B60" s="468" t="s">
        <v>140</v>
      </c>
      <c r="C60" s="468"/>
      <c r="F60" s="471">
        <v>43010</v>
      </c>
      <c r="H60" s="468"/>
    </row>
    <row r="61" spans="1:8" ht="15" customHeight="1" x14ac:dyDescent="0.3">
      <c r="A61" s="467" t="s">
        <v>30</v>
      </c>
      <c r="B61" s="469"/>
      <c r="C61" s="469"/>
      <c r="F61" s="469"/>
      <c r="H61" s="47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1" workbookViewId="0">
      <selection activeCell="E61" sqref="E61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64"/>
  </cols>
  <sheetData>
    <row r="14" spans="1:6" ht="15" customHeight="1" x14ac:dyDescent="0.3">
      <c r="A14" s="426"/>
      <c r="C14" s="428"/>
      <c r="F14" s="428"/>
    </row>
    <row r="15" spans="1:6" ht="18.75" customHeight="1" x14ac:dyDescent="0.3">
      <c r="A15" s="472" t="s">
        <v>0</v>
      </c>
      <c r="B15" s="472"/>
      <c r="C15" s="472"/>
      <c r="D15" s="472"/>
      <c r="E15" s="472"/>
    </row>
    <row r="16" spans="1:6" ht="16.5" customHeight="1" x14ac:dyDescent="0.3">
      <c r="A16" s="429" t="s">
        <v>1</v>
      </c>
      <c r="B16" s="430" t="s">
        <v>2</v>
      </c>
    </row>
    <row r="17" spans="1:5" ht="16.5" customHeight="1" x14ac:dyDescent="0.3">
      <c r="A17" s="431" t="s">
        <v>3</v>
      </c>
      <c r="B17" s="431" t="s">
        <v>139</v>
      </c>
      <c r="D17" s="432"/>
      <c r="E17" s="433"/>
    </row>
    <row r="18" spans="1:5" ht="16.5" customHeight="1" x14ac:dyDescent="0.3">
      <c r="A18" s="434" t="s">
        <v>4</v>
      </c>
      <c r="B18" s="431" t="s">
        <v>133</v>
      </c>
      <c r="C18" s="433"/>
      <c r="D18" s="433"/>
      <c r="E18" s="433"/>
    </row>
    <row r="19" spans="1:5" ht="16.5" customHeight="1" x14ac:dyDescent="0.3">
      <c r="A19" s="434" t="s">
        <v>6</v>
      </c>
      <c r="B19" s="435">
        <v>99.39</v>
      </c>
      <c r="C19" s="433"/>
      <c r="D19" s="433"/>
      <c r="E19" s="433"/>
    </row>
    <row r="20" spans="1:5" ht="16.5" customHeight="1" x14ac:dyDescent="0.3">
      <c r="A20" s="431" t="s">
        <v>8</v>
      </c>
      <c r="B20" s="435">
        <v>11.76</v>
      </c>
      <c r="C20" s="433"/>
      <c r="D20" s="433"/>
      <c r="E20" s="433"/>
    </row>
    <row r="21" spans="1:5" ht="16.5" customHeight="1" x14ac:dyDescent="0.3">
      <c r="A21" s="431" t="s">
        <v>10</v>
      </c>
      <c r="B21" s="436">
        <f>11.76/100</f>
        <v>0.1176</v>
      </c>
      <c r="C21" s="433"/>
      <c r="D21" s="433"/>
      <c r="E21" s="433"/>
    </row>
    <row r="22" spans="1:5" ht="15.75" customHeight="1" x14ac:dyDescent="0.25">
      <c r="A22" s="433"/>
      <c r="B22" s="433"/>
      <c r="C22" s="433"/>
      <c r="D22" s="433"/>
      <c r="E22" s="433"/>
    </row>
    <row r="23" spans="1:5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17</v>
      </c>
    </row>
    <row r="24" spans="1:5" ht="16.5" customHeight="1" x14ac:dyDescent="0.3">
      <c r="A24" s="439">
        <v>1</v>
      </c>
      <c r="B24" s="440">
        <v>22763601</v>
      </c>
      <c r="C24" s="440">
        <v>3964.6</v>
      </c>
      <c r="D24" s="441">
        <v>0.9</v>
      </c>
      <c r="E24" s="442">
        <v>4.0999999999999996</v>
      </c>
    </row>
    <row r="25" spans="1:5" ht="16.5" customHeight="1" x14ac:dyDescent="0.3">
      <c r="A25" s="439">
        <v>2</v>
      </c>
      <c r="B25" s="440">
        <v>22768315</v>
      </c>
      <c r="C25" s="440">
        <v>4012.4</v>
      </c>
      <c r="D25" s="441">
        <v>0.9</v>
      </c>
      <c r="E25" s="441">
        <v>4.0999999999999996</v>
      </c>
    </row>
    <row r="26" spans="1:5" ht="16.5" customHeight="1" x14ac:dyDescent="0.3">
      <c r="A26" s="439">
        <v>3</v>
      </c>
      <c r="B26" s="440">
        <v>22798756</v>
      </c>
      <c r="C26" s="440">
        <v>3956.4</v>
      </c>
      <c r="D26" s="441">
        <v>1</v>
      </c>
      <c r="E26" s="441">
        <v>4.2</v>
      </c>
    </row>
    <row r="27" spans="1:5" ht="16.5" customHeight="1" x14ac:dyDescent="0.3">
      <c r="A27" s="439">
        <v>4</v>
      </c>
      <c r="B27" s="440">
        <v>22834847</v>
      </c>
      <c r="C27" s="440">
        <v>3898.6</v>
      </c>
      <c r="D27" s="441">
        <v>1</v>
      </c>
      <c r="E27" s="441">
        <v>4.2</v>
      </c>
    </row>
    <row r="28" spans="1:5" ht="16.5" customHeight="1" x14ac:dyDescent="0.3">
      <c r="A28" s="439">
        <v>5</v>
      </c>
      <c r="B28" s="440">
        <v>22798397</v>
      </c>
      <c r="C28" s="440">
        <v>3908.6</v>
      </c>
      <c r="D28" s="441">
        <v>0.9</v>
      </c>
      <c r="E28" s="441">
        <v>4.2</v>
      </c>
    </row>
    <row r="29" spans="1:5" ht="16.5" customHeight="1" x14ac:dyDescent="0.3">
      <c r="A29" s="439">
        <v>6</v>
      </c>
      <c r="B29" s="443">
        <v>22866466</v>
      </c>
      <c r="C29" s="443">
        <v>3994.1</v>
      </c>
      <c r="D29" s="444">
        <v>0.9</v>
      </c>
      <c r="E29" s="444">
        <v>4.0999999999999996</v>
      </c>
    </row>
    <row r="30" spans="1:5" ht="16.5" customHeight="1" x14ac:dyDescent="0.3">
      <c r="A30" s="445" t="s">
        <v>18</v>
      </c>
      <c r="B30" s="446">
        <f>AVERAGE(B24:B29)</f>
        <v>22805063.666666668</v>
      </c>
      <c r="C30" s="447">
        <f>AVERAGE(C24:C29)</f>
        <v>3955.7833333333328</v>
      </c>
      <c r="D30" s="448">
        <f>AVERAGE(D24:D29)</f>
        <v>0.93333333333333346</v>
      </c>
      <c r="E30" s="448">
        <f>AVERAGE(E24:E29)</f>
        <v>4.1499999999999995</v>
      </c>
    </row>
    <row r="31" spans="1:5" ht="16.5" customHeight="1" x14ac:dyDescent="0.3">
      <c r="A31" s="449" t="s">
        <v>19</v>
      </c>
      <c r="B31" s="450">
        <f>(STDEV(B24:B29)/B30)</f>
        <v>1.7331692300822912E-3</v>
      </c>
      <c r="C31" s="451"/>
      <c r="D31" s="451"/>
      <c r="E31" s="452"/>
    </row>
    <row r="32" spans="1:5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7"/>
    </row>
    <row r="33" spans="1:5" s="427" customFormat="1" ht="15.75" customHeight="1" x14ac:dyDescent="0.25">
      <c r="A33" s="433"/>
      <c r="B33" s="433"/>
      <c r="C33" s="433"/>
      <c r="D33" s="433"/>
      <c r="E33" s="433"/>
    </row>
    <row r="34" spans="1:5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</row>
    <row r="35" spans="1:5" ht="16.5" customHeight="1" x14ac:dyDescent="0.3">
      <c r="A35" s="434"/>
      <c r="B35" s="458" t="s">
        <v>138</v>
      </c>
      <c r="C35" s="459"/>
      <c r="D35" s="459"/>
      <c r="E35" s="459"/>
    </row>
    <row r="36" spans="1:5" ht="16.5" customHeight="1" x14ac:dyDescent="0.3">
      <c r="A36" s="434"/>
      <c r="B36" s="458" t="s">
        <v>24</v>
      </c>
      <c r="C36" s="459"/>
      <c r="D36" s="459"/>
      <c r="E36" s="459"/>
    </row>
    <row r="37" spans="1:5" ht="15.75" customHeight="1" x14ac:dyDescent="0.25">
      <c r="A37" s="433"/>
      <c r="B37" s="433"/>
      <c r="C37" s="433"/>
      <c r="D37" s="433"/>
      <c r="E37" s="433"/>
    </row>
    <row r="38" spans="1:5" ht="16.5" customHeight="1" x14ac:dyDescent="0.3">
      <c r="A38" s="429" t="s">
        <v>1</v>
      </c>
      <c r="B38" s="430" t="s">
        <v>25</v>
      </c>
    </row>
    <row r="39" spans="1:5" ht="16.5" customHeight="1" x14ac:dyDescent="0.3">
      <c r="A39" s="434" t="s">
        <v>4</v>
      </c>
      <c r="B39" s="431" t="s">
        <v>133</v>
      </c>
      <c r="C39" s="433"/>
      <c r="D39" s="433"/>
      <c r="E39" s="433"/>
    </row>
    <row r="40" spans="1:5" ht="16.5" customHeight="1" x14ac:dyDescent="0.3">
      <c r="A40" s="434" t="s">
        <v>6</v>
      </c>
      <c r="B40" s="435">
        <v>99.39</v>
      </c>
      <c r="C40" s="433"/>
      <c r="D40" s="433"/>
      <c r="E40" s="433"/>
    </row>
    <row r="41" spans="1:5" ht="16.5" customHeight="1" x14ac:dyDescent="0.3">
      <c r="A41" s="431" t="s">
        <v>8</v>
      </c>
      <c r="B41" s="435">
        <v>16.440000000000001</v>
      </c>
      <c r="C41" s="433"/>
      <c r="D41" s="433"/>
      <c r="E41" s="433"/>
    </row>
    <row r="42" spans="1:5" ht="16.5" customHeight="1" x14ac:dyDescent="0.3">
      <c r="A42" s="431" t="s">
        <v>10</v>
      </c>
      <c r="B42" s="436">
        <v>0.32880000000000004</v>
      </c>
      <c r="C42" s="433"/>
      <c r="D42" s="433"/>
      <c r="E42" s="433"/>
    </row>
    <row r="43" spans="1:5" ht="15.75" customHeight="1" x14ac:dyDescent="0.25">
      <c r="A43" s="433"/>
      <c r="B43" s="433"/>
      <c r="C43" s="433"/>
      <c r="D43" s="433"/>
      <c r="E43" s="433"/>
    </row>
    <row r="44" spans="1:5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17</v>
      </c>
    </row>
    <row r="45" spans="1:5" ht="16.5" customHeight="1" x14ac:dyDescent="0.3">
      <c r="A45" s="439">
        <v>1</v>
      </c>
      <c r="B45" s="440">
        <v>5437454</v>
      </c>
      <c r="C45" s="440">
        <v>477</v>
      </c>
      <c r="D45" s="441">
        <v>1.29</v>
      </c>
      <c r="E45" s="442">
        <v>2.2999999999999998</v>
      </c>
    </row>
    <row r="46" spans="1:5" ht="16.5" customHeight="1" x14ac:dyDescent="0.3">
      <c r="A46" s="439">
        <v>2</v>
      </c>
      <c r="B46" s="440">
        <v>5475638</v>
      </c>
      <c r="C46" s="440">
        <v>456</v>
      </c>
      <c r="D46" s="441">
        <v>1.29</v>
      </c>
      <c r="E46" s="441">
        <v>2.27</v>
      </c>
    </row>
    <row r="47" spans="1:5" ht="16.5" customHeight="1" x14ac:dyDescent="0.3">
      <c r="A47" s="439">
        <v>3</v>
      </c>
      <c r="B47" s="440">
        <v>5452020</v>
      </c>
      <c r="C47" s="440">
        <v>459</v>
      </c>
      <c r="D47" s="441">
        <v>1.28</v>
      </c>
      <c r="E47" s="441">
        <v>2.2799999999999998</v>
      </c>
    </row>
    <row r="48" spans="1:5" ht="16.5" customHeight="1" x14ac:dyDescent="0.3">
      <c r="A48" s="439">
        <v>4</v>
      </c>
      <c r="B48" s="440">
        <v>5461010</v>
      </c>
      <c r="C48" s="440">
        <v>462</v>
      </c>
      <c r="D48" s="441">
        <v>1.26</v>
      </c>
      <c r="E48" s="441">
        <v>2.29</v>
      </c>
    </row>
    <row r="49" spans="1:7" ht="16.5" customHeight="1" x14ac:dyDescent="0.3">
      <c r="A49" s="439">
        <v>5</v>
      </c>
      <c r="B49" s="440">
        <v>5445490</v>
      </c>
      <c r="C49" s="440">
        <v>456</v>
      </c>
      <c r="D49" s="441">
        <v>1.29</v>
      </c>
      <c r="E49" s="441">
        <v>2.29</v>
      </c>
    </row>
    <row r="50" spans="1:7" ht="16.5" customHeight="1" x14ac:dyDescent="0.3">
      <c r="A50" s="439">
        <v>6</v>
      </c>
      <c r="B50" s="443">
        <v>5457376</v>
      </c>
      <c r="C50" s="443">
        <v>454</v>
      </c>
      <c r="D50" s="444">
        <v>1.28</v>
      </c>
      <c r="E50" s="444">
        <v>2.29</v>
      </c>
    </row>
    <row r="51" spans="1:7" ht="16.5" customHeight="1" x14ac:dyDescent="0.3">
      <c r="A51" s="445" t="s">
        <v>18</v>
      </c>
      <c r="B51" s="446">
        <f>AVERAGE(B45:B50)</f>
        <v>5454831.333333333</v>
      </c>
      <c r="C51" s="447">
        <f>AVERAGE(C45:C50)</f>
        <v>460.66666666666669</v>
      </c>
      <c r="D51" s="448">
        <f>AVERAGE(D45:D50)</f>
        <v>1.2816666666666667</v>
      </c>
      <c r="E51" s="448">
        <f>AVERAGE(E45:E50)</f>
        <v>2.2866666666666666</v>
      </c>
    </row>
    <row r="52" spans="1:7" ht="16.5" customHeight="1" x14ac:dyDescent="0.3">
      <c r="A52" s="449" t="s">
        <v>19</v>
      </c>
      <c r="B52" s="450">
        <f>(STDEV(B45:B50)/B51)</f>
        <v>2.4247353172088264E-3</v>
      </c>
      <c r="C52" s="451"/>
      <c r="D52" s="451"/>
      <c r="E52" s="452"/>
    </row>
    <row r="53" spans="1:7" s="427" customFormat="1" ht="16.5" customHeight="1" x14ac:dyDescent="0.3">
      <c r="A53" s="453" t="s">
        <v>20</v>
      </c>
      <c r="B53" s="454">
        <f>COUNT(B45:B50)</f>
        <v>6</v>
      </c>
      <c r="C53" s="455"/>
      <c r="D53" s="456"/>
      <c r="E53" s="457"/>
    </row>
    <row r="54" spans="1:7" s="427" customFormat="1" ht="15.75" customHeight="1" x14ac:dyDescent="0.25">
      <c r="A54" s="433"/>
      <c r="B54" s="433"/>
      <c r="C54" s="433"/>
      <c r="D54" s="433"/>
      <c r="E54" s="433"/>
    </row>
    <row r="55" spans="1:7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</row>
    <row r="56" spans="1:7" ht="16.5" customHeight="1" x14ac:dyDescent="0.3">
      <c r="A56" s="434"/>
      <c r="B56" s="458" t="s">
        <v>23</v>
      </c>
      <c r="C56" s="459"/>
      <c r="D56" s="459"/>
      <c r="E56" s="459"/>
    </row>
    <row r="57" spans="1:7" ht="16.5" customHeight="1" x14ac:dyDescent="0.3">
      <c r="A57" s="434"/>
      <c r="B57" s="458" t="s">
        <v>24</v>
      </c>
      <c r="C57" s="459"/>
      <c r="D57" s="459"/>
      <c r="E57" s="459"/>
    </row>
    <row r="58" spans="1:7" ht="14.25" customHeight="1" thickBot="1" x14ac:dyDescent="0.3">
      <c r="A58" s="460"/>
      <c r="B58" s="461"/>
      <c r="D58" s="462"/>
      <c r="F58" s="464"/>
      <c r="G58" s="464"/>
    </row>
    <row r="59" spans="1:7" ht="15" customHeight="1" x14ac:dyDescent="0.3">
      <c r="B59" s="473" t="s">
        <v>26</v>
      </c>
      <c r="C59" s="473"/>
      <c r="E59" s="465" t="s">
        <v>27</v>
      </c>
      <c r="F59" s="466"/>
      <c r="G59" s="465" t="s">
        <v>28</v>
      </c>
    </row>
    <row r="60" spans="1:7" ht="15" customHeight="1" x14ac:dyDescent="0.3">
      <c r="A60" s="467" t="s">
        <v>29</v>
      </c>
      <c r="B60" s="468" t="s">
        <v>140</v>
      </c>
      <c r="C60" s="468"/>
      <c r="E60" s="471">
        <v>43010</v>
      </c>
      <c r="G60" s="468"/>
    </row>
    <row r="61" spans="1:7" ht="15" customHeight="1" x14ac:dyDescent="0.3">
      <c r="A61" s="467" t="s">
        <v>30</v>
      </c>
      <c r="B61" s="469"/>
      <c r="C61" s="469"/>
      <c r="E61" s="469"/>
      <c r="G61" s="47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7" workbookViewId="0">
      <selection activeCell="E23" sqref="E2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7" t="s">
        <v>31</v>
      </c>
      <c r="B11" s="478"/>
      <c r="C11" s="478"/>
      <c r="D11" s="478"/>
      <c r="E11" s="478"/>
      <c r="F11" s="479"/>
      <c r="G11" s="43"/>
    </row>
    <row r="12" spans="1:7" ht="16.5" customHeight="1" x14ac:dyDescent="0.3">
      <c r="A12" s="476" t="s">
        <v>32</v>
      </c>
      <c r="B12" s="476"/>
      <c r="C12" s="476"/>
      <c r="D12" s="476"/>
      <c r="E12" s="476"/>
      <c r="F12" s="476"/>
      <c r="G12" s="42"/>
    </row>
    <row r="14" spans="1:7" ht="16.5" customHeight="1" x14ac:dyDescent="0.3">
      <c r="A14" s="481" t="s">
        <v>33</v>
      </c>
      <c r="B14" s="481"/>
      <c r="C14" s="12" t="s">
        <v>5</v>
      </c>
    </row>
    <row r="15" spans="1:7" ht="16.5" customHeight="1" x14ac:dyDescent="0.3">
      <c r="A15" s="481" t="s">
        <v>34</v>
      </c>
      <c r="B15" s="481"/>
      <c r="C15" s="12" t="s">
        <v>7</v>
      </c>
    </row>
    <row r="16" spans="1:7" ht="16.5" customHeight="1" x14ac:dyDescent="0.3">
      <c r="A16" s="481" t="s">
        <v>35</v>
      </c>
      <c r="B16" s="481"/>
      <c r="C16" s="12" t="s">
        <v>9</v>
      </c>
    </row>
    <row r="17" spans="1:5" ht="16.5" customHeight="1" x14ac:dyDescent="0.3">
      <c r="A17" s="481" t="s">
        <v>36</v>
      </c>
      <c r="B17" s="481"/>
      <c r="C17" s="12" t="s">
        <v>11</v>
      </c>
    </row>
    <row r="18" spans="1:5" ht="16.5" customHeight="1" x14ac:dyDescent="0.3">
      <c r="A18" s="481" t="s">
        <v>37</v>
      </c>
      <c r="B18" s="481"/>
      <c r="C18" s="49" t="s">
        <v>12</v>
      </c>
    </row>
    <row r="19" spans="1:5" ht="16.5" customHeight="1" x14ac:dyDescent="0.3">
      <c r="A19" s="481" t="s">
        <v>38</v>
      </c>
      <c r="B19" s="48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6" t="s">
        <v>1</v>
      </c>
      <c r="B21" s="476"/>
      <c r="C21" s="11" t="s">
        <v>39</v>
      </c>
      <c r="D21" s="18"/>
    </row>
    <row r="22" spans="1:5" ht="15.75" customHeight="1" x14ac:dyDescent="0.3">
      <c r="A22" s="480"/>
      <c r="B22" s="480"/>
      <c r="C22" s="9"/>
      <c r="D22" s="480"/>
      <c r="E22" s="48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859.47</v>
      </c>
      <c r="D24" s="39">
        <f t="shared" ref="D24:D43" si="0">(C24-$C$46)/$C$46</f>
        <v>-7.7117172035541777E-3</v>
      </c>
      <c r="E24" s="5"/>
    </row>
    <row r="25" spans="1:5" ht="15.75" customHeight="1" x14ac:dyDescent="0.3">
      <c r="C25" s="47">
        <v>866.48</v>
      </c>
      <c r="D25" s="40">
        <f t="shared" si="0"/>
        <v>3.8157385070376748E-4</v>
      </c>
      <c r="E25" s="5"/>
    </row>
    <row r="26" spans="1:5" ht="15.75" customHeight="1" x14ac:dyDescent="0.3">
      <c r="C26" s="47">
        <v>868.59</v>
      </c>
      <c r="D26" s="40">
        <f t="shared" si="0"/>
        <v>2.8176429126844232E-3</v>
      </c>
      <c r="E26" s="5"/>
    </row>
    <row r="27" spans="1:5" ht="15.75" customHeight="1" x14ac:dyDescent="0.3">
      <c r="C27" s="47">
        <v>868.68</v>
      </c>
      <c r="D27" s="40">
        <f t="shared" si="0"/>
        <v>2.9215510717261568E-3</v>
      </c>
      <c r="E27" s="5"/>
    </row>
    <row r="28" spans="1:5" ht="15.75" customHeight="1" x14ac:dyDescent="0.3">
      <c r="C28" s="47">
        <v>865.44</v>
      </c>
      <c r="D28" s="40">
        <f t="shared" si="0"/>
        <v>-8.191426537795391E-4</v>
      </c>
      <c r="E28" s="5"/>
    </row>
    <row r="29" spans="1:5" ht="15.75" customHeight="1" x14ac:dyDescent="0.3">
      <c r="C29" s="47">
        <v>871.63</v>
      </c>
      <c r="D29" s="40">
        <f t="shared" si="0"/>
        <v>6.327429618097246E-3</v>
      </c>
      <c r="E29" s="5"/>
    </row>
    <row r="30" spans="1:5" ht="15.75" customHeight="1" x14ac:dyDescent="0.3">
      <c r="C30" s="47">
        <v>863.3</v>
      </c>
      <c r="D30" s="40">
        <f t="shared" si="0"/>
        <v>-3.2898477687742372E-3</v>
      </c>
      <c r="E30" s="5"/>
    </row>
    <row r="31" spans="1:5" ht="15.75" customHeight="1" x14ac:dyDescent="0.3">
      <c r="C31" s="47">
        <v>861.75</v>
      </c>
      <c r="D31" s="40">
        <f t="shared" si="0"/>
        <v>-5.0793771744945598E-3</v>
      </c>
      <c r="E31" s="5"/>
    </row>
    <row r="32" spans="1:5" ht="15.75" customHeight="1" x14ac:dyDescent="0.3">
      <c r="C32" s="47">
        <v>862.49</v>
      </c>
      <c r="D32" s="40">
        <f t="shared" si="0"/>
        <v>-4.2250212001506285E-3</v>
      </c>
      <c r="E32" s="5"/>
    </row>
    <row r="33" spans="1:7" ht="15.75" customHeight="1" x14ac:dyDescent="0.3">
      <c r="C33" s="47">
        <v>867.91</v>
      </c>
      <c r="D33" s="40">
        <f t="shared" si="0"/>
        <v>2.0325590443683139E-3</v>
      </c>
      <c r="E33" s="5"/>
    </row>
    <row r="34" spans="1:7" ht="15.75" customHeight="1" x14ac:dyDescent="0.3">
      <c r="C34" s="47">
        <v>860.47</v>
      </c>
      <c r="D34" s="40">
        <f t="shared" si="0"/>
        <v>-6.5571821030894189E-3</v>
      </c>
      <c r="E34" s="5"/>
    </row>
    <row r="35" spans="1:7" ht="15.75" customHeight="1" x14ac:dyDescent="0.3">
      <c r="C35" s="47">
        <v>864.17</v>
      </c>
      <c r="D35" s="40">
        <f t="shared" si="0"/>
        <v>-2.2854022313698926E-3</v>
      </c>
      <c r="E35" s="5"/>
    </row>
    <row r="36" spans="1:7" ht="15.75" customHeight="1" x14ac:dyDescent="0.3">
      <c r="C36" s="47">
        <v>868.59</v>
      </c>
      <c r="D36" s="40">
        <f t="shared" si="0"/>
        <v>2.8176429126844232E-3</v>
      </c>
      <c r="E36" s="5"/>
    </row>
    <row r="37" spans="1:7" ht="15.75" customHeight="1" x14ac:dyDescent="0.3">
      <c r="C37" s="47">
        <v>866.02</v>
      </c>
      <c r="D37" s="40">
        <f t="shared" si="0"/>
        <v>-1.4951229551006333E-4</v>
      </c>
      <c r="E37" s="5"/>
    </row>
    <row r="38" spans="1:7" ht="15.75" customHeight="1" x14ac:dyDescent="0.3">
      <c r="C38" s="47">
        <v>876.84</v>
      </c>
      <c r="D38" s="40">
        <f t="shared" si="0"/>
        <v>1.2342557491518679E-2</v>
      </c>
      <c r="E38" s="5"/>
    </row>
    <row r="39" spans="1:7" ht="15.75" customHeight="1" x14ac:dyDescent="0.3">
      <c r="C39" s="47">
        <v>867.55</v>
      </c>
      <c r="D39" s="40">
        <f t="shared" si="0"/>
        <v>1.6169264082009853E-3</v>
      </c>
      <c r="E39" s="5"/>
    </row>
    <row r="40" spans="1:7" ht="15.75" customHeight="1" x14ac:dyDescent="0.3">
      <c r="C40" s="47">
        <v>862.88</v>
      </c>
      <c r="D40" s="40">
        <f t="shared" si="0"/>
        <v>-3.7747525109693885E-3</v>
      </c>
      <c r="E40" s="5"/>
    </row>
    <row r="41" spans="1:7" ht="15.75" customHeight="1" x14ac:dyDescent="0.3">
      <c r="C41" s="47">
        <v>865.81</v>
      </c>
      <c r="D41" s="40">
        <f t="shared" si="0"/>
        <v>-3.919646666077046E-4</v>
      </c>
      <c r="E41" s="5"/>
    </row>
    <row r="42" spans="1:7" ht="15.75" customHeight="1" x14ac:dyDescent="0.3">
      <c r="C42" s="47">
        <v>869.45</v>
      </c>
      <c r="D42" s="40">
        <f t="shared" si="0"/>
        <v>3.8105430990841311E-3</v>
      </c>
      <c r="E42" s="5"/>
    </row>
    <row r="43" spans="1:7" ht="16.5" customHeight="1" x14ac:dyDescent="0.3">
      <c r="C43" s="48">
        <v>865.47</v>
      </c>
      <c r="D43" s="41">
        <f t="shared" si="0"/>
        <v>-7.8450660076562792E-4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17322.989999999998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866.14949999999988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74">
        <f>C46</f>
        <v>866.14949999999988</v>
      </c>
      <c r="C49" s="45">
        <f>-IF(C46&lt;=80,10%,IF(C46&lt;250,7.5%,5%))</f>
        <v>-0.05</v>
      </c>
      <c r="D49" s="33">
        <f>IF(C46&lt;=80,C46*0.9,IF(C46&lt;250,C46*0.925,C46*0.95))</f>
        <v>822.84202499999981</v>
      </c>
    </row>
    <row r="50" spans="1:6" ht="17.25" customHeight="1" x14ac:dyDescent="0.3">
      <c r="B50" s="475"/>
      <c r="C50" s="46">
        <f>IF(C46&lt;=80, 10%, IF(C46&lt;250, 7.5%, 5%))</f>
        <v>0.05</v>
      </c>
      <c r="D50" s="33">
        <f>IF(C46&lt;=80, C46*1.1, IF(C46&lt;250, C46*1.075, C46*1.05))</f>
        <v>909.45697499999994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  <colBreaks count="1" manualBreakCount="1">
    <brk id="6" min="11" max="5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3" zoomScale="60" zoomScaleNormal="40" zoomScalePageLayoutView="50" workbookViewId="0">
      <selection activeCell="F63" sqref="F6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2" t="s">
        <v>45</v>
      </c>
      <c r="B1" s="512"/>
      <c r="C1" s="512"/>
      <c r="D1" s="512"/>
      <c r="E1" s="512"/>
      <c r="F1" s="512"/>
      <c r="G1" s="512"/>
      <c r="H1" s="512"/>
      <c r="I1" s="512"/>
    </row>
    <row r="2" spans="1:9" ht="18.75" customHeight="1" x14ac:dyDescent="0.25">
      <c r="A2" s="512"/>
      <c r="B2" s="512"/>
      <c r="C2" s="512"/>
      <c r="D2" s="512"/>
      <c r="E2" s="512"/>
      <c r="F2" s="512"/>
      <c r="G2" s="512"/>
      <c r="H2" s="512"/>
      <c r="I2" s="512"/>
    </row>
    <row r="3" spans="1:9" ht="18.75" customHeight="1" x14ac:dyDescent="0.25">
      <c r="A3" s="512"/>
      <c r="B3" s="512"/>
      <c r="C3" s="512"/>
      <c r="D3" s="512"/>
      <c r="E3" s="512"/>
      <c r="F3" s="512"/>
      <c r="G3" s="512"/>
      <c r="H3" s="512"/>
      <c r="I3" s="512"/>
    </row>
    <row r="4" spans="1:9" ht="18.75" customHeight="1" x14ac:dyDescent="0.25">
      <c r="A4" s="512"/>
      <c r="B4" s="512"/>
      <c r="C4" s="512"/>
      <c r="D4" s="512"/>
      <c r="E4" s="512"/>
      <c r="F4" s="512"/>
      <c r="G4" s="512"/>
      <c r="H4" s="512"/>
      <c r="I4" s="512"/>
    </row>
    <row r="5" spans="1:9" ht="18.75" customHeight="1" x14ac:dyDescent="0.25">
      <c r="A5" s="512"/>
      <c r="B5" s="512"/>
      <c r="C5" s="512"/>
      <c r="D5" s="512"/>
      <c r="E5" s="512"/>
      <c r="F5" s="512"/>
      <c r="G5" s="512"/>
      <c r="H5" s="512"/>
      <c r="I5" s="512"/>
    </row>
    <row r="6" spans="1:9" ht="18.75" customHeight="1" x14ac:dyDescent="0.25">
      <c r="A6" s="512"/>
      <c r="B6" s="512"/>
      <c r="C6" s="512"/>
      <c r="D6" s="512"/>
      <c r="E6" s="512"/>
      <c r="F6" s="512"/>
      <c r="G6" s="512"/>
      <c r="H6" s="512"/>
      <c r="I6" s="512"/>
    </row>
    <row r="7" spans="1:9" ht="18.75" customHeight="1" x14ac:dyDescent="0.25">
      <c r="A7" s="512"/>
      <c r="B7" s="512"/>
      <c r="C7" s="512"/>
      <c r="D7" s="512"/>
      <c r="E7" s="512"/>
      <c r="F7" s="512"/>
      <c r="G7" s="512"/>
      <c r="H7" s="512"/>
      <c r="I7" s="512"/>
    </row>
    <row r="8" spans="1:9" x14ac:dyDescent="0.25">
      <c r="A8" s="513" t="s">
        <v>46</v>
      </c>
      <c r="B8" s="513"/>
      <c r="C8" s="513"/>
      <c r="D8" s="513"/>
      <c r="E8" s="513"/>
      <c r="F8" s="513"/>
      <c r="G8" s="513"/>
      <c r="H8" s="513"/>
      <c r="I8" s="513"/>
    </row>
    <row r="9" spans="1:9" x14ac:dyDescent="0.25">
      <c r="A9" s="513"/>
      <c r="B9" s="513"/>
      <c r="C9" s="513"/>
      <c r="D9" s="513"/>
      <c r="E9" s="513"/>
      <c r="F9" s="513"/>
      <c r="G9" s="513"/>
      <c r="H9" s="513"/>
      <c r="I9" s="513"/>
    </row>
    <row r="10" spans="1:9" x14ac:dyDescent="0.25">
      <c r="A10" s="513"/>
      <c r="B10" s="513"/>
      <c r="C10" s="513"/>
      <c r="D10" s="513"/>
      <c r="E10" s="513"/>
      <c r="F10" s="513"/>
      <c r="G10" s="513"/>
      <c r="H10" s="513"/>
      <c r="I10" s="513"/>
    </row>
    <row r="11" spans="1:9" x14ac:dyDescent="0.25">
      <c r="A11" s="513"/>
      <c r="B11" s="513"/>
      <c r="C11" s="513"/>
      <c r="D11" s="513"/>
      <c r="E11" s="513"/>
      <c r="F11" s="513"/>
      <c r="G11" s="513"/>
      <c r="H11" s="513"/>
      <c r="I11" s="513"/>
    </row>
    <row r="12" spans="1:9" x14ac:dyDescent="0.25">
      <c r="A12" s="513"/>
      <c r="B12" s="513"/>
      <c r="C12" s="513"/>
      <c r="D12" s="513"/>
      <c r="E12" s="513"/>
      <c r="F12" s="513"/>
      <c r="G12" s="513"/>
      <c r="H12" s="513"/>
      <c r="I12" s="513"/>
    </row>
    <row r="13" spans="1:9" x14ac:dyDescent="0.25">
      <c r="A13" s="513"/>
      <c r="B13" s="513"/>
      <c r="C13" s="513"/>
      <c r="D13" s="513"/>
      <c r="E13" s="513"/>
      <c r="F13" s="513"/>
      <c r="G13" s="513"/>
      <c r="H13" s="513"/>
      <c r="I13" s="513"/>
    </row>
    <row r="14" spans="1:9" x14ac:dyDescent="0.25">
      <c r="A14" s="513"/>
      <c r="B14" s="513"/>
      <c r="C14" s="513"/>
      <c r="D14" s="513"/>
      <c r="E14" s="513"/>
      <c r="F14" s="513"/>
      <c r="G14" s="513"/>
      <c r="H14" s="513"/>
      <c r="I14" s="513"/>
    </row>
    <row r="15" spans="1:9" ht="19.5" customHeight="1" x14ac:dyDescent="0.3">
      <c r="A15" s="50"/>
    </row>
    <row r="16" spans="1:9" ht="19.5" customHeight="1" x14ac:dyDescent="0.3">
      <c r="A16" s="485" t="s">
        <v>31</v>
      </c>
      <c r="B16" s="486"/>
      <c r="C16" s="486"/>
      <c r="D16" s="486"/>
      <c r="E16" s="486"/>
      <c r="F16" s="486"/>
      <c r="G16" s="486"/>
      <c r="H16" s="487"/>
    </row>
    <row r="17" spans="1:14" ht="20.25" customHeight="1" x14ac:dyDescent="0.25">
      <c r="A17" s="488" t="s">
        <v>47</v>
      </c>
      <c r="B17" s="488"/>
      <c r="C17" s="488"/>
      <c r="D17" s="488"/>
      <c r="E17" s="488"/>
      <c r="F17" s="488"/>
      <c r="G17" s="488"/>
      <c r="H17" s="488"/>
    </row>
    <row r="18" spans="1:14" ht="26.25" customHeight="1" x14ac:dyDescent="0.4">
      <c r="A18" s="52" t="s">
        <v>33</v>
      </c>
      <c r="B18" s="484" t="s">
        <v>5</v>
      </c>
      <c r="C18" s="484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89" t="s">
        <v>131</v>
      </c>
      <c r="C20" s="48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89" t="s">
        <v>11</v>
      </c>
      <c r="C21" s="489"/>
      <c r="D21" s="489"/>
      <c r="E21" s="489"/>
      <c r="F21" s="489"/>
      <c r="G21" s="489"/>
      <c r="H21" s="489"/>
      <c r="I21" s="56"/>
    </row>
    <row r="22" spans="1:14" ht="26.25" customHeight="1" x14ac:dyDescent="0.4">
      <c r="A22" s="52" t="s">
        <v>37</v>
      </c>
      <c r="B22" s="57">
        <v>42985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43010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84" t="s">
        <v>131</v>
      </c>
      <c r="C26" s="484"/>
    </row>
    <row r="27" spans="1:14" ht="26.25" customHeight="1" x14ac:dyDescent="0.4">
      <c r="A27" s="61" t="s">
        <v>48</v>
      </c>
      <c r="B27" s="490" t="s">
        <v>132</v>
      </c>
      <c r="C27" s="490"/>
    </row>
    <row r="28" spans="1:14" ht="27" customHeight="1" x14ac:dyDescent="0.4">
      <c r="A28" s="61" t="s">
        <v>6</v>
      </c>
      <c r="B28" s="62">
        <v>99.54</v>
      </c>
    </row>
    <row r="29" spans="1:14" s="3" customFormat="1" ht="27" customHeight="1" x14ac:dyDescent="0.4">
      <c r="A29" s="61" t="s">
        <v>49</v>
      </c>
      <c r="B29" s="63">
        <v>0</v>
      </c>
      <c r="C29" s="491" t="s">
        <v>50</v>
      </c>
      <c r="D29" s="492"/>
      <c r="E29" s="492"/>
      <c r="F29" s="492"/>
      <c r="G29" s="493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94" t="s">
        <v>53</v>
      </c>
      <c r="D31" s="495"/>
      <c r="E31" s="495"/>
      <c r="F31" s="495"/>
      <c r="G31" s="495"/>
      <c r="H31" s="496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94" t="s">
        <v>55</v>
      </c>
      <c r="D32" s="495"/>
      <c r="E32" s="495"/>
      <c r="F32" s="495"/>
      <c r="G32" s="495"/>
      <c r="H32" s="49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497" t="s">
        <v>59</v>
      </c>
      <c r="E36" s="498"/>
      <c r="F36" s="497" t="s">
        <v>60</v>
      </c>
      <c r="G36" s="49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11537650</v>
      </c>
      <c r="E38" s="85">
        <f>IF(ISBLANK(D38),"-",$D$48/$D$45*D38)</f>
        <v>11857768.240299236</v>
      </c>
      <c r="F38" s="84">
        <v>13251908</v>
      </c>
      <c r="G38" s="86">
        <f>IF(ISBLANK(F38),"-",$D$48/$F$45*F38)</f>
        <v>11781547.330107875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11626860</v>
      </c>
      <c r="E39" s="90">
        <f>IF(ISBLANK(D39),"-",$D$48/$D$45*D39)</f>
        <v>11949453.419232301</v>
      </c>
      <c r="F39" s="89">
        <v>13213208</v>
      </c>
      <c r="G39" s="91">
        <f>IF(ISBLANK(F39),"-",$D$48/$F$45*F39)</f>
        <v>11747141.274642114</v>
      </c>
      <c r="I39" s="501">
        <f>ABS((F43/D43*D42)-F42)/D42</f>
        <v>1.199096461417007E-2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11476779</v>
      </c>
      <c r="E40" s="90">
        <f>IF(ISBLANK(D40),"-",$D$48/$D$45*D40)</f>
        <v>11795208.342004934</v>
      </c>
      <c r="F40" s="89">
        <v>13165186</v>
      </c>
      <c r="G40" s="91">
        <f>IF(ISBLANK(F40),"-",$D$48/$F$45*F40)</f>
        <v>11704447.5383223</v>
      </c>
      <c r="I40" s="501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11547096.333333334</v>
      </c>
      <c r="E42" s="100">
        <f>AVERAGE(E38:E41)</f>
        <v>11867476.667178825</v>
      </c>
      <c r="F42" s="99">
        <f>AVERAGE(F38:F41)</f>
        <v>13210100.666666666</v>
      </c>
      <c r="G42" s="101">
        <f>AVERAGE(G38:G41)</f>
        <v>11744378.71435743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11.73</v>
      </c>
      <c r="E43" s="92"/>
      <c r="F43" s="104">
        <v>13.56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11.73</v>
      </c>
      <c r="E44" s="107"/>
      <c r="F44" s="106">
        <f>F43*$B$34</f>
        <v>13.56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11.676042000000002</v>
      </c>
      <c r="E45" s="110"/>
      <c r="F45" s="109">
        <f>F44*$B$30/100</f>
        <v>13.497624</v>
      </c>
      <c r="H45" s="102"/>
    </row>
    <row r="46" spans="1:14" ht="19.5" customHeight="1" x14ac:dyDescent="0.3">
      <c r="A46" s="502" t="s">
        <v>78</v>
      </c>
      <c r="B46" s="503"/>
      <c r="C46" s="105" t="s">
        <v>79</v>
      </c>
      <c r="D46" s="111">
        <f>D45/$B$45</f>
        <v>0.11676042000000003</v>
      </c>
      <c r="E46" s="112"/>
      <c r="F46" s="113">
        <f>F45/$B$45</f>
        <v>0.13497624</v>
      </c>
      <c r="H46" s="102"/>
    </row>
    <row r="47" spans="1:14" ht="27" customHeight="1" x14ac:dyDescent="0.4">
      <c r="A47" s="504"/>
      <c r="B47" s="505"/>
      <c r="C47" s="114" t="s">
        <v>80</v>
      </c>
      <c r="D47" s="115">
        <v>0.12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12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12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11805927.690768128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7.3599681117885877E-3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contains: Tenofovir disoproxil fumarate 300 mg &amp; Lamivudine USP 300 mg.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>Tenofovir Disoproxil Fumarate</v>
      </c>
      <c r="H56" s="131"/>
    </row>
    <row r="57" spans="1:12" ht="18.75" x14ac:dyDescent="0.3">
      <c r="A57" s="128" t="s">
        <v>88</v>
      </c>
      <c r="B57" s="199">
        <f>Uniformity!C46</f>
        <v>866.14949999999988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506" t="s">
        <v>94</v>
      </c>
      <c r="D60" s="509">
        <v>861.84</v>
      </c>
      <c r="E60" s="134">
        <v>1</v>
      </c>
      <c r="F60" s="135">
        <v>11132520</v>
      </c>
      <c r="G60" s="200">
        <f>IF(ISBLANK(F60),"-",(F60/$D$50*$D$47*$B$68)*($B$57/$D$60))</f>
        <v>284.30260039357216</v>
      </c>
      <c r="H60" s="218">
        <f t="shared" ref="H60:H71" si="0">IF(ISBLANK(F60),"-",(G60/$B$56)*100)</f>
        <v>94.76753346452405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507"/>
      <c r="D61" s="510"/>
      <c r="E61" s="136">
        <v>2</v>
      </c>
      <c r="F61" s="89">
        <v>11304480</v>
      </c>
      <c r="G61" s="201">
        <f>IF(ISBLANK(F61),"-",(F61/$D$50*$D$47*$B$68)*($B$57/$D$60))</f>
        <v>288.69411957913644</v>
      </c>
      <c r="H61" s="219">
        <f t="shared" si="0"/>
        <v>96.231373193045471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07"/>
      <c r="D62" s="510"/>
      <c r="E62" s="136">
        <v>3</v>
      </c>
      <c r="F62" s="137">
        <v>11144793</v>
      </c>
      <c r="G62" s="201">
        <f>IF(ISBLANK(F62),"-",(F62/$D$50*$D$47*$B$68)*($B$57/$D$60))</f>
        <v>284.61602860341412</v>
      </c>
      <c r="H62" s="219">
        <f t="shared" si="0"/>
        <v>94.872009534471374</v>
      </c>
      <c r="L62" s="64"/>
    </row>
    <row r="63" spans="1:12" ht="27" customHeight="1" x14ac:dyDescent="0.4">
      <c r="A63" s="76" t="s">
        <v>97</v>
      </c>
      <c r="B63" s="77">
        <v>1</v>
      </c>
      <c r="C63" s="508"/>
      <c r="D63" s="511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06" t="s">
        <v>99</v>
      </c>
      <c r="D64" s="509">
        <v>865.83</v>
      </c>
      <c r="E64" s="134">
        <v>1</v>
      </c>
      <c r="F64" s="135">
        <v>11354935</v>
      </c>
      <c r="G64" s="200">
        <f>IF(ISBLANK(F64),"-",(F64/$D$50*$D$47*$B$68)*($B$57/$D$64))</f>
        <v>288.64631521639274</v>
      </c>
      <c r="H64" s="218">
        <f t="shared" si="0"/>
        <v>96.215438405464255</v>
      </c>
    </row>
    <row r="65" spans="1:8" ht="26.25" customHeight="1" x14ac:dyDescent="0.4">
      <c r="A65" s="76" t="s">
        <v>100</v>
      </c>
      <c r="B65" s="77">
        <v>1</v>
      </c>
      <c r="C65" s="507"/>
      <c r="D65" s="510"/>
      <c r="E65" s="136">
        <v>2</v>
      </c>
      <c r="F65" s="89">
        <v>11380004</v>
      </c>
      <c r="G65" s="201">
        <f>IF(ISBLANK(F65),"-",(F65/$D$50*$D$47*$B$68)*($B$57/$D$64))</f>
        <v>289.28357773495054</v>
      </c>
      <c r="H65" s="219">
        <f t="shared" si="0"/>
        <v>96.427859244983523</v>
      </c>
    </row>
    <row r="66" spans="1:8" ht="26.25" customHeight="1" x14ac:dyDescent="0.4">
      <c r="A66" s="76" t="s">
        <v>101</v>
      </c>
      <c r="B66" s="77">
        <v>1</v>
      </c>
      <c r="C66" s="507"/>
      <c r="D66" s="510"/>
      <c r="E66" s="136">
        <v>3</v>
      </c>
      <c r="F66" s="89">
        <v>11290181</v>
      </c>
      <c r="G66" s="201">
        <f>IF(ISBLANK(F66),"-",(F66/$D$50*$D$47*$B$68)*($B$57/$D$64))</f>
        <v>287.00024648103476</v>
      </c>
      <c r="H66" s="219">
        <f t="shared" si="0"/>
        <v>95.666748827011588</v>
      </c>
    </row>
    <row r="67" spans="1:8" ht="27" customHeight="1" x14ac:dyDescent="0.4">
      <c r="A67" s="76" t="s">
        <v>102</v>
      </c>
      <c r="B67" s="77">
        <v>1</v>
      </c>
      <c r="C67" s="508"/>
      <c r="D67" s="511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2500</v>
      </c>
      <c r="C68" s="506" t="s">
        <v>104</v>
      </c>
      <c r="D68" s="509">
        <v>871.16</v>
      </c>
      <c r="E68" s="134">
        <v>1</v>
      </c>
      <c r="F68" s="135">
        <v>11335666</v>
      </c>
      <c r="G68" s="200">
        <f>IF(ISBLANK(F68),"-",(F68/$D$50*$D$47*$B$68)*($B$57/$D$68))</f>
        <v>286.39346884577765</v>
      </c>
      <c r="H68" s="219">
        <f t="shared" si="0"/>
        <v>95.464489615259225</v>
      </c>
    </row>
    <row r="69" spans="1:8" ht="27" customHeight="1" x14ac:dyDescent="0.4">
      <c r="A69" s="124" t="s">
        <v>105</v>
      </c>
      <c r="B69" s="141">
        <f>(D47*B68)/B56*B57</f>
        <v>866.14949999999988</v>
      </c>
      <c r="C69" s="507"/>
      <c r="D69" s="510"/>
      <c r="E69" s="136">
        <v>2</v>
      </c>
      <c r="F69" s="89">
        <v>11357871</v>
      </c>
      <c r="G69" s="201">
        <f>IF(ISBLANK(F69),"-",(F69/$D$50*$D$47*$B$68)*($B$57/$D$68))</f>
        <v>286.95447399322296</v>
      </c>
      <c r="H69" s="219">
        <f t="shared" si="0"/>
        <v>95.651491331074325</v>
      </c>
    </row>
    <row r="70" spans="1:8" ht="26.25" customHeight="1" x14ac:dyDescent="0.4">
      <c r="A70" s="519" t="s">
        <v>78</v>
      </c>
      <c r="B70" s="520"/>
      <c r="C70" s="507"/>
      <c r="D70" s="510"/>
      <c r="E70" s="136">
        <v>3</v>
      </c>
      <c r="F70" s="89">
        <v>11356902</v>
      </c>
      <c r="G70" s="201">
        <f>IF(ISBLANK(F70),"-",(F70/$D$50*$D$47*$B$68)*($B$57/$D$68))</f>
        <v>286.92999239052654</v>
      </c>
      <c r="H70" s="219">
        <f t="shared" si="0"/>
        <v>95.643330796842179</v>
      </c>
    </row>
    <row r="71" spans="1:8" ht="27" customHeight="1" x14ac:dyDescent="0.4">
      <c r="A71" s="521"/>
      <c r="B71" s="522"/>
      <c r="C71" s="518"/>
      <c r="D71" s="511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286.98009147089198</v>
      </c>
      <c r="H72" s="221">
        <f>AVERAGE(H60:H71)</f>
        <v>95.660030490297345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6.0512227000282942E-3</v>
      </c>
      <c r="H73" s="205">
        <f>STDEV(H60:H71)/H72</f>
        <v>6.0512227000283133E-3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514" t="str">
        <f>B26</f>
        <v>Tenofovir Disoproxil Fumarate</v>
      </c>
      <c r="D76" s="514"/>
      <c r="E76" s="150" t="s">
        <v>108</v>
      </c>
      <c r="F76" s="150"/>
      <c r="G76" s="237">
        <f>H72</f>
        <v>95.660030490297345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00" t="str">
        <f>B26</f>
        <v>Tenofovir Disoproxil Fumarate</v>
      </c>
      <c r="C79" s="500"/>
    </row>
    <row r="80" spans="1:8" ht="26.25" customHeight="1" x14ac:dyDescent="0.4">
      <c r="A80" s="61" t="s">
        <v>48</v>
      </c>
      <c r="B80" s="500" t="str">
        <f>B27</f>
        <v>T11-10</v>
      </c>
      <c r="C80" s="500"/>
    </row>
    <row r="81" spans="1:12" ht="27" customHeight="1" x14ac:dyDescent="0.4">
      <c r="A81" s="61" t="s">
        <v>6</v>
      </c>
      <c r="B81" s="153">
        <f>B28</f>
        <v>99.54</v>
      </c>
    </row>
    <row r="82" spans="1:12" s="3" customFormat="1" ht="27" customHeight="1" x14ac:dyDescent="0.4">
      <c r="A82" s="61" t="s">
        <v>49</v>
      </c>
      <c r="B82" s="63">
        <v>0</v>
      </c>
      <c r="C82" s="491" t="s">
        <v>50</v>
      </c>
      <c r="D82" s="492"/>
      <c r="E82" s="492"/>
      <c r="F82" s="492"/>
      <c r="G82" s="493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99.54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94" t="s">
        <v>111</v>
      </c>
      <c r="D84" s="495"/>
      <c r="E84" s="495"/>
      <c r="F84" s="495"/>
      <c r="G84" s="495"/>
      <c r="H84" s="496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94" t="s">
        <v>112</v>
      </c>
      <c r="D85" s="495"/>
      <c r="E85" s="495"/>
      <c r="F85" s="495"/>
      <c r="G85" s="495"/>
      <c r="H85" s="49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4" t="s">
        <v>59</v>
      </c>
      <c r="E89" s="155"/>
      <c r="F89" s="497" t="s">
        <v>60</v>
      </c>
      <c r="G89" s="499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3836260</v>
      </c>
      <c r="E91" s="85">
        <f>IF(ISBLANK(D91),"-",$D$101/$D$98*D91)</f>
        <v>3715284.3956234665</v>
      </c>
      <c r="F91" s="84">
        <v>3571211</v>
      </c>
      <c r="G91" s="86">
        <f>IF(ISBLANK(F91),"-",$D$101/$F$98*F91)</f>
        <v>3747612.6253188057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3830760</v>
      </c>
      <c r="E92" s="90">
        <f>IF(ISBLANK(D92),"-",$D$101/$D$98*D92)</f>
        <v>3709957.8368980596</v>
      </c>
      <c r="F92" s="89">
        <v>3572406</v>
      </c>
      <c r="G92" s="91">
        <f>IF(ISBLANK(F92),"-",$D$101/$F$98*F92)</f>
        <v>3748866.6528985975</v>
      </c>
      <c r="I92" s="501">
        <f>ABS((F96/D96*D95)-F95)/D95</f>
        <v>9.3588984561394188E-3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3827872</v>
      </c>
      <c r="E93" s="90">
        <f>IF(ISBLANK(D93),"-",$D$101/$D$98*D93)</f>
        <v>3707160.9093346098</v>
      </c>
      <c r="F93" s="89">
        <v>3572359</v>
      </c>
      <c r="G93" s="91">
        <f>IF(ISBLANK(F93),"-",$D$101/$F$98*F93)</f>
        <v>3748817.3313117777</v>
      </c>
      <c r="I93" s="501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3831630.6666666665</v>
      </c>
      <c r="E95" s="100">
        <f>AVERAGE(E91:E94)</f>
        <v>3710801.0472853784</v>
      </c>
      <c r="F95" s="163">
        <f>AVERAGE(F91:F94)</f>
        <v>3571992</v>
      </c>
      <c r="G95" s="164">
        <f>AVERAGE(G91:G94)</f>
        <v>3748432.2031763936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15.56</v>
      </c>
      <c r="E96" s="92"/>
      <c r="F96" s="104">
        <v>14.36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15.56</v>
      </c>
      <c r="E97" s="107"/>
      <c r="F97" s="106">
        <f>F96*$B$87</f>
        <v>14.36</v>
      </c>
    </row>
    <row r="98" spans="1:10" ht="19.5" customHeight="1" x14ac:dyDescent="0.3">
      <c r="A98" s="76" t="s">
        <v>76</v>
      </c>
      <c r="B98" s="169">
        <f>(B97/B96)*(B95/B94)*(B93/B92)*(B91/B90)*B89</f>
        <v>50</v>
      </c>
      <c r="C98" s="167" t="s">
        <v>115</v>
      </c>
      <c r="D98" s="170">
        <f>D97*$B$83/100</f>
        <v>15.488424000000002</v>
      </c>
      <c r="E98" s="110"/>
      <c r="F98" s="109">
        <f>F97*$B$83/100</f>
        <v>14.293944000000002</v>
      </c>
    </row>
    <row r="99" spans="1:10" ht="19.5" customHeight="1" x14ac:dyDescent="0.3">
      <c r="A99" s="502" t="s">
        <v>78</v>
      </c>
      <c r="B99" s="516"/>
      <c r="C99" s="167" t="s">
        <v>116</v>
      </c>
      <c r="D99" s="171">
        <f>D98/$B$98</f>
        <v>0.30976848000000001</v>
      </c>
      <c r="E99" s="110"/>
      <c r="F99" s="113">
        <f>F98/$B$98</f>
        <v>0.28587888000000006</v>
      </c>
      <c r="G99" s="172"/>
      <c r="H99" s="102"/>
    </row>
    <row r="100" spans="1:10" ht="19.5" customHeight="1" x14ac:dyDescent="0.3">
      <c r="A100" s="504"/>
      <c r="B100" s="517"/>
      <c r="C100" s="167" t="s">
        <v>80</v>
      </c>
      <c r="D100" s="173">
        <f>$B$56/$B$116</f>
        <v>0.3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15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15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3729616.625230886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5.5718564697541445E-3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1000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3573188</v>
      </c>
      <c r="E108" s="202">
        <f t="shared" ref="E108:E113" si="1">IF(ISBLANK(D108),"-",D108/$D$103*$D$100*$B$116)</f>
        <v>287.41731596438262</v>
      </c>
      <c r="F108" s="229">
        <f t="shared" ref="F108:F113" si="2">IF(ISBLANK(D108), "-", (E108/$B$56)*100)</f>
        <v>95.805771988127546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3576976</v>
      </c>
      <c r="E109" s="203">
        <f t="shared" si="1"/>
        <v>287.72201216085284</v>
      </c>
      <c r="F109" s="230">
        <f t="shared" si="2"/>
        <v>95.907337386950957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3565150</v>
      </c>
      <c r="E110" s="203">
        <f t="shared" si="1"/>
        <v>286.77076157493497</v>
      </c>
      <c r="F110" s="230">
        <f t="shared" si="2"/>
        <v>95.590253858311655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3566836</v>
      </c>
      <c r="E111" s="203">
        <f t="shared" si="1"/>
        <v>286.90637873101963</v>
      </c>
      <c r="F111" s="230">
        <f t="shared" si="2"/>
        <v>95.635459577006543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3541050</v>
      </c>
      <c r="E112" s="203">
        <f t="shared" si="1"/>
        <v>284.83222452769826</v>
      </c>
      <c r="F112" s="230">
        <f t="shared" si="2"/>
        <v>94.944074842566081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3559105</v>
      </c>
      <c r="E113" s="204">
        <f t="shared" si="1"/>
        <v>286.28451856868827</v>
      </c>
      <c r="F113" s="231">
        <f t="shared" si="2"/>
        <v>95.428172856229423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286.65553525459609</v>
      </c>
      <c r="F115" s="233">
        <f>AVERAGE(F108:F113)</f>
        <v>95.551845084865363</v>
      </c>
    </row>
    <row r="116" spans="1:10" ht="27" customHeight="1" x14ac:dyDescent="0.4">
      <c r="A116" s="76" t="s">
        <v>103</v>
      </c>
      <c r="B116" s="108">
        <f>(B115/B114)*(B113/B112)*(B111/B110)*(B109/B108)*B107</f>
        <v>1000</v>
      </c>
      <c r="C116" s="186"/>
      <c r="D116" s="210" t="s">
        <v>84</v>
      </c>
      <c r="E116" s="208">
        <f>STDEV(E108:E113)/E115</f>
        <v>3.5766978383664498E-3</v>
      </c>
      <c r="F116" s="187">
        <f>STDEV(F108:F113)/F115</f>
        <v>3.5766978383664949E-3</v>
      </c>
      <c r="I116" s="50"/>
    </row>
    <row r="117" spans="1:10" ht="27" customHeight="1" x14ac:dyDescent="0.4">
      <c r="A117" s="502" t="s">
        <v>78</v>
      </c>
      <c r="B117" s="503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504"/>
      <c r="B118" s="505"/>
      <c r="C118" s="50"/>
      <c r="D118" s="212"/>
      <c r="E118" s="482" t="s">
        <v>123</v>
      </c>
      <c r="F118" s="48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284.83222452769826</v>
      </c>
      <c r="F119" s="234">
        <f>MIN(F108:F113)</f>
        <v>94.944074842566081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287.72201216085284</v>
      </c>
      <c r="F120" s="235">
        <f>MAX(F108:F113)</f>
        <v>95.907337386950957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14" t="str">
        <f>B26</f>
        <v>Tenofovir Disoproxil Fumarate</v>
      </c>
      <c r="D124" s="514"/>
      <c r="E124" s="150" t="s">
        <v>127</v>
      </c>
      <c r="F124" s="150"/>
      <c r="G124" s="236">
        <f>F115</f>
        <v>95.551845084865363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94.944074842566081</v>
      </c>
      <c r="E125" s="161" t="s">
        <v>130</v>
      </c>
      <c r="F125" s="236">
        <f>MAX(F108:F113)</f>
        <v>95.907337386950957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15" t="s">
        <v>26</v>
      </c>
      <c r="C127" s="515"/>
      <c r="E127" s="156" t="s">
        <v>27</v>
      </c>
      <c r="F127" s="191"/>
      <c r="G127" s="515" t="s">
        <v>28</v>
      </c>
      <c r="H127" s="515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8" zoomScale="60" zoomScaleNormal="40" zoomScalePageLayoutView="50" workbookViewId="0">
      <selection activeCell="C32" sqref="C32:H3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2" t="s">
        <v>45</v>
      </c>
      <c r="B1" s="512"/>
      <c r="C1" s="512"/>
      <c r="D1" s="512"/>
      <c r="E1" s="512"/>
      <c r="F1" s="512"/>
      <c r="G1" s="512"/>
      <c r="H1" s="512"/>
      <c r="I1" s="512"/>
    </row>
    <row r="2" spans="1:9" ht="18.75" customHeight="1" x14ac:dyDescent="0.25">
      <c r="A2" s="512"/>
      <c r="B2" s="512"/>
      <c r="C2" s="512"/>
      <c r="D2" s="512"/>
      <c r="E2" s="512"/>
      <c r="F2" s="512"/>
      <c r="G2" s="512"/>
      <c r="H2" s="512"/>
      <c r="I2" s="512"/>
    </row>
    <row r="3" spans="1:9" ht="18.75" customHeight="1" x14ac:dyDescent="0.25">
      <c r="A3" s="512"/>
      <c r="B3" s="512"/>
      <c r="C3" s="512"/>
      <c r="D3" s="512"/>
      <c r="E3" s="512"/>
      <c r="F3" s="512"/>
      <c r="G3" s="512"/>
      <c r="H3" s="512"/>
      <c r="I3" s="512"/>
    </row>
    <row r="4" spans="1:9" ht="18.75" customHeight="1" x14ac:dyDescent="0.25">
      <c r="A4" s="512"/>
      <c r="B4" s="512"/>
      <c r="C4" s="512"/>
      <c r="D4" s="512"/>
      <c r="E4" s="512"/>
      <c r="F4" s="512"/>
      <c r="G4" s="512"/>
      <c r="H4" s="512"/>
      <c r="I4" s="512"/>
    </row>
    <row r="5" spans="1:9" ht="18.75" customHeight="1" x14ac:dyDescent="0.25">
      <c r="A5" s="512"/>
      <c r="B5" s="512"/>
      <c r="C5" s="512"/>
      <c r="D5" s="512"/>
      <c r="E5" s="512"/>
      <c r="F5" s="512"/>
      <c r="G5" s="512"/>
      <c r="H5" s="512"/>
      <c r="I5" s="512"/>
    </row>
    <row r="6" spans="1:9" ht="18.75" customHeight="1" x14ac:dyDescent="0.25">
      <c r="A6" s="512"/>
      <c r="B6" s="512"/>
      <c r="C6" s="512"/>
      <c r="D6" s="512"/>
      <c r="E6" s="512"/>
      <c r="F6" s="512"/>
      <c r="G6" s="512"/>
      <c r="H6" s="512"/>
      <c r="I6" s="512"/>
    </row>
    <row r="7" spans="1:9" ht="18.75" customHeight="1" x14ac:dyDescent="0.25">
      <c r="A7" s="512"/>
      <c r="B7" s="512"/>
      <c r="C7" s="512"/>
      <c r="D7" s="512"/>
      <c r="E7" s="512"/>
      <c r="F7" s="512"/>
      <c r="G7" s="512"/>
      <c r="H7" s="512"/>
      <c r="I7" s="512"/>
    </row>
    <row r="8" spans="1:9" x14ac:dyDescent="0.25">
      <c r="A8" s="513" t="s">
        <v>46</v>
      </c>
      <c r="B8" s="513"/>
      <c r="C8" s="513"/>
      <c r="D8" s="513"/>
      <c r="E8" s="513"/>
      <c r="F8" s="513"/>
      <c r="G8" s="513"/>
      <c r="H8" s="513"/>
      <c r="I8" s="513"/>
    </row>
    <row r="9" spans="1:9" x14ac:dyDescent="0.25">
      <c r="A9" s="513"/>
      <c r="B9" s="513"/>
      <c r="C9" s="513"/>
      <c r="D9" s="513"/>
      <c r="E9" s="513"/>
      <c r="F9" s="513"/>
      <c r="G9" s="513"/>
      <c r="H9" s="513"/>
      <c r="I9" s="513"/>
    </row>
    <row r="10" spans="1:9" x14ac:dyDescent="0.25">
      <c r="A10" s="513"/>
      <c r="B10" s="513"/>
      <c r="C10" s="513"/>
      <c r="D10" s="513"/>
      <c r="E10" s="513"/>
      <c r="F10" s="513"/>
      <c r="G10" s="513"/>
      <c r="H10" s="513"/>
      <c r="I10" s="513"/>
    </row>
    <row r="11" spans="1:9" x14ac:dyDescent="0.25">
      <c r="A11" s="513"/>
      <c r="B11" s="513"/>
      <c r="C11" s="513"/>
      <c r="D11" s="513"/>
      <c r="E11" s="513"/>
      <c r="F11" s="513"/>
      <c r="G11" s="513"/>
      <c r="H11" s="513"/>
      <c r="I11" s="513"/>
    </row>
    <row r="12" spans="1:9" x14ac:dyDescent="0.25">
      <c r="A12" s="513"/>
      <c r="B12" s="513"/>
      <c r="C12" s="513"/>
      <c r="D12" s="513"/>
      <c r="E12" s="513"/>
      <c r="F12" s="513"/>
      <c r="G12" s="513"/>
      <c r="H12" s="513"/>
      <c r="I12" s="513"/>
    </row>
    <row r="13" spans="1:9" x14ac:dyDescent="0.25">
      <c r="A13" s="513"/>
      <c r="B13" s="513"/>
      <c r="C13" s="513"/>
      <c r="D13" s="513"/>
      <c r="E13" s="513"/>
      <c r="F13" s="513"/>
      <c r="G13" s="513"/>
      <c r="H13" s="513"/>
      <c r="I13" s="513"/>
    </row>
    <row r="14" spans="1:9" x14ac:dyDescent="0.25">
      <c r="A14" s="513"/>
      <c r="B14" s="513"/>
      <c r="C14" s="513"/>
      <c r="D14" s="513"/>
      <c r="E14" s="513"/>
      <c r="F14" s="513"/>
      <c r="G14" s="513"/>
      <c r="H14" s="513"/>
      <c r="I14" s="513"/>
    </row>
    <row r="15" spans="1:9" ht="19.5" customHeight="1" x14ac:dyDescent="0.3">
      <c r="A15" s="238"/>
    </row>
    <row r="16" spans="1:9" ht="19.5" customHeight="1" x14ac:dyDescent="0.3">
      <c r="A16" s="485" t="s">
        <v>31</v>
      </c>
      <c r="B16" s="486"/>
      <c r="C16" s="486"/>
      <c r="D16" s="486"/>
      <c r="E16" s="486"/>
      <c r="F16" s="486"/>
      <c r="G16" s="486"/>
      <c r="H16" s="487"/>
    </row>
    <row r="17" spans="1:14" ht="20.25" customHeight="1" x14ac:dyDescent="0.25">
      <c r="A17" s="488" t="s">
        <v>47</v>
      </c>
      <c r="B17" s="488"/>
      <c r="C17" s="488"/>
      <c r="D17" s="488"/>
      <c r="E17" s="488"/>
      <c r="F17" s="488"/>
      <c r="G17" s="488"/>
      <c r="H17" s="488"/>
    </row>
    <row r="18" spans="1:14" ht="26.25" customHeight="1" x14ac:dyDescent="0.4">
      <c r="A18" s="240" t="s">
        <v>33</v>
      </c>
      <c r="B18" s="484" t="s">
        <v>5</v>
      </c>
      <c r="C18" s="484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89" t="s">
        <v>133</v>
      </c>
      <c r="C20" s="489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89" t="s">
        <v>11</v>
      </c>
      <c r="C21" s="489"/>
      <c r="D21" s="489"/>
      <c r="E21" s="489"/>
      <c r="F21" s="489"/>
      <c r="G21" s="489"/>
      <c r="H21" s="489"/>
      <c r="I21" s="244"/>
    </row>
    <row r="22" spans="1:14" ht="26.25" customHeight="1" x14ac:dyDescent="0.4">
      <c r="A22" s="240" t="s">
        <v>37</v>
      </c>
      <c r="B22" s="245">
        <v>42985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43010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84" t="s">
        <v>133</v>
      </c>
      <c r="C26" s="484"/>
    </row>
    <row r="27" spans="1:14" ht="26.25" customHeight="1" x14ac:dyDescent="0.4">
      <c r="A27" s="249" t="s">
        <v>48</v>
      </c>
      <c r="B27" s="490" t="s">
        <v>134</v>
      </c>
      <c r="C27" s="490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491" t="s">
        <v>50</v>
      </c>
      <c r="D29" s="492"/>
      <c r="E29" s="492"/>
      <c r="F29" s="492"/>
      <c r="G29" s="493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94" t="s">
        <v>53</v>
      </c>
      <c r="D31" s="495"/>
      <c r="E31" s="495"/>
      <c r="F31" s="495"/>
      <c r="G31" s="495"/>
      <c r="H31" s="496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94" t="s">
        <v>55</v>
      </c>
      <c r="D32" s="495"/>
      <c r="E32" s="495"/>
      <c r="F32" s="495"/>
      <c r="G32" s="495"/>
      <c r="H32" s="496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497" t="s">
        <v>59</v>
      </c>
      <c r="E36" s="498"/>
      <c r="F36" s="497" t="s">
        <v>60</v>
      </c>
      <c r="G36" s="499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22804750</v>
      </c>
      <c r="E38" s="273">
        <f>IF(ISBLANK(D38),"-",$D$48/$D$45*D38)</f>
        <v>23412972.191593211</v>
      </c>
      <c r="F38" s="272">
        <v>23294573</v>
      </c>
      <c r="G38" s="274">
        <f>IF(ISBLANK(F38),"-",$D$48/$F$45*F38)</f>
        <v>23167257.337302849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22867196</v>
      </c>
      <c r="E39" s="278">
        <f>IF(ISBLANK(D39),"-",$D$48/$D$45*D39)</f>
        <v>23477083.67983475</v>
      </c>
      <c r="F39" s="277">
        <v>23299796</v>
      </c>
      <c r="G39" s="279">
        <f>IF(ISBLANK(F39),"-",$D$48/$F$45*F39)</f>
        <v>23172451.791181557</v>
      </c>
      <c r="I39" s="501">
        <f>ABS((F43/D43*D42)-F42)/D42</f>
        <v>9.4272017174667801E-3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22586154</v>
      </c>
      <c r="E40" s="278">
        <f>IF(ISBLANK(D40),"-",$D$48/$D$45*D40)</f>
        <v>23188546.049267884</v>
      </c>
      <c r="F40" s="277">
        <v>23225867</v>
      </c>
      <c r="G40" s="279">
        <f>IF(ISBLANK(F40),"-",$D$48/$F$45*F40)</f>
        <v>23098926.847509507</v>
      </c>
      <c r="I40" s="501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22752700</v>
      </c>
      <c r="E42" s="288">
        <f>AVERAGE(E38:E41)</f>
        <v>23359533.97356528</v>
      </c>
      <c r="F42" s="287">
        <f>AVERAGE(F38:F41)</f>
        <v>23273412</v>
      </c>
      <c r="G42" s="289">
        <f>AVERAGE(G38:G41)</f>
        <v>23146211.991997972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11.76</v>
      </c>
      <c r="E43" s="280"/>
      <c r="F43" s="292">
        <v>12.14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11.76</v>
      </c>
      <c r="E44" s="295"/>
      <c r="F44" s="294">
        <f>F43*$B$34</f>
        <v>12.14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11.688263999999998</v>
      </c>
      <c r="E45" s="298"/>
      <c r="F45" s="297">
        <f>F44*$B$30/100</f>
        <v>12.065946000000002</v>
      </c>
      <c r="H45" s="290"/>
    </row>
    <row r="46" spans="1:14" ht="19.5" customHeight="1" x14ac:dyDescent="0.3">
      <c r="A46" s="502" t="s">
        <v>78</v>
      </c>
      <c r="B46" s="503"/>
      <c r="C46" s="293" t="s">
        <v>79</v>
      </c>
      <c r="D46" s="299">
        <f>D45/$B$45</f>
        <v>0.11688263999999998</v>
      </c>
      <c r="E46" s="300"/>
      <c r="F46" s="301">
        <f>F45/$B$45</f>
        <v>0.12065946000000002</v>
      </c>
      <c r="H46" s="290"/>
    </row>
    <row r="47" spans="1:14" ht="27" customHeight="1" x14ac:dyDescent="0.4">
      <c r="A47" s="504"/>
      <c r="B47" s="505"/>
      <c r="C47" s="302" t="s">
        <v>80</v>
      </c>
      <c r="D47" s="303">
        <v>0.12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12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12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23252872.982781623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6.5936514811268153E-3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contains: Tenofovir disoproxil fumarate 300 mg &amp; Lamivudine USP 300 mg.</v>
      </c>
    </row>
    <row r="56" spans="1:12" ht="26.25" customHeight="1" x14ac:dyDescent="0.4">
      <c r="A56" s="317" t="s">
        <v>87</v>
      </c>
      <c r="B56" s="318">
        <v>300</v>
      </c>
      <c r="C56" s="239" t="str">
        <f>B20</f>
        <v xml:space="preserve">Lamivudine </v>
      </c>
      <c r="H56" s="319"/>
    </row>
    <row r="57" spans="1:12" ht="18.75" x14ac:dyDescent="0.3">
      <c r="A57" s="316" t="s">
        <v>88</v>
      </c>
      <c r="B57" s="387">
        <f>Uniformity!C46</f>
        <v>866.14949999999988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200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4</v>
      </c>
      <c r="C60" s="506" t="s">
        <v>94</v>
      </c>
      <c r="D60" s="509">
        <v>861.84</v>
      </c>
      <c r="E60" s="322">
        <v>1</v>
      </c>
      <c r="F60" s="323">
        <v>21770108</v>
      </c>
      <c r="G60" s="388">
        <f>IF(ISBLANK(F60),"-",(F60/$D$50*$D$47*$B$68)*($B$57/$D$60))</f>
        <v>282.27435982914437</v>
      </c>
      <c r="H60" s="406">
        <f t="shared" ref="H60:H71" si="0">IF(ISBLANK(F60),"-",(G60/$B$56)*100)</f>
        <v>94.091453276381458</v>
      </c>
      <c r="L60" s="252"/>
    </row>
    <row r="61" spans="1:12" s="3" customFormat="1" ht="26.25" customHeight="1" x14ac:dyDescent="0.4">
      <c r="A61" s="264" t="s">
        <v>95</v>
      </c>
      <c r="B61" s="265">
        <v>50</v>
      </c>
      <c r="C61" s="507"/>
      <c r="D61" s="510"/>
      <c r="E61" s="324">
        <v>2</v>
      </c>
      <c r="F61" s="277">
        <v>22018652</v>
      </c>
      <c r="G61" s="389">
        <f>IF(ISBLANK(F61),"-",(F61/$D$50*$D$47*$B$68)*($B$57/$D$60))</f>
        <v>285.49701717606138</v>
      </c>
      <c r="H61" s="407">
        <f t="shared" si="0"/>
        <v>95.165672392020468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507"/>
      <c r="D62" s="510"/>
      <c r="E62" s="324">
        <v>3</v>
      </c>
      <c r="F62" s="325">
        <v>21812642</v>
      </c>
      <c r="G62" s="389">
        <f>IF(ISBLANK(F62),"-",(F62/$D$50*$D$47*$B$68)*($B$57/$D$60))</f>
        <v>282.82586180703873</v>
      </c>
      <c r="H62" s="407">
        <f t="shared" si="0"/>
        <v>94.275287269012907</v>
      </c>
      <c r="L62" s="252"/>
    </row>
    <row r="63" spans="1:12" ht="27" customHeight="1" x14ac:dyDescent="0.4">
      <c r="A63" s="264" t="s">
        <v>97</v>
      </c>
      <c r="B63" s="265">
        <v>1</v>
      </c>
      <c r="C63" s="508"/>
      <c r="D63" s="511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506" t="s">
        <v>99</v>
      </c>
      <c r="D64" s="509">
        <v>865.83</v>
      </c>
      <c r="E64" s="322">
        <v>1</v>
      </c>
      <c r="F64" s="323">
        <v>22028685</v>
      </c>
      <c r="G64" s="388">
        <f>IF(ISBLANK(F64),"-",(F64/$D$50*$D$47*$B$68)*($B$57/$D$64))</f>
        <v>284.31085255392691</v>
      </c>
      <c r="H64" s="406">
        <f t="shared" si="0"/>
        <v>94.770284184642307</v>
      </c>
    </row>
    <row r="65" spans="1:8" ht="26.25" customHeight="1" x14ac:dyDescent="0.4">
      <c r="A65" s="264" t="s">
        <v>100</v>
      </c>
      <c r="B65" s="265">
        <v>1</v>
      </c>
      <c r="C65" s="507"/>
      <c r="D65" s="510"/>
      <c r="E65" s="324">
        <v>2</v>
      </c>
      <c r="F65" s="277">
        <v>22080558</v>
      </c>
      <c r="G65" s="389">
        <f>IF(ISBLANK(F65),"-",(F65/$D$50*$D$47*$B$68)*($B$57/$D$64))</f>
        <v>284.98034584662821</v>
      </c>
      <c r="H65" s="407">
        <f t="shared" si="0"/>
        <v>94.993448615542746</v>
      </c>
    </row>
    <row r="66" spans="1:8" ht="26.25" customHeight="1" x14ac:dyDescent="0.4">
      <c r="A66" s="264" t="s">
        <v>101</v>
      </c>
      <c r="B66" s="265">
        <v>1</v>
      </c>
      <c r="C66" s="507"/>
      <c r="D66" s="510"/>
      <c r="E66" s="324">
        <v>3</v>
      </c>
      <c r="F66" s="277">
        <v>21940602</v>
      </c>
      <c r="G66" s="389">
        <f>IF(ISBLANK(F66),"-",(F66/$D$50*$D$47*$B$68)*($B$57/$D$64))</f>
        <v>283.17401879260581</v>
      </c>
      <c r="H66" s="407">
        <f t="shared" si="0"/>
        <v>94.391339597535278</v>
      </c>
    </row>
    <row r="67" spans="1:8" ht="27" customHeight="1" x14ac:dyDescent="0.4">
      <c r="A67" s="264" t="s">
        <v>102</v>
      </c>
      <c r="B67" s="265">
        <v>1</v>
      </c>
      <c r="C67" s="508"/>
      <c r="D67" s="511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2500</v>
      </c>
      <c r="C68" s="506" t="s">
        <v>104</v>
      </c>
      <c r="D68" s="509">
        <v>871.16</v>
      </c>
      <c r="E68" s="322">
        <v>1</v>
      </c>
      <c r="F68" s="323">
        <v>22415294</v>
      </c>
      <c r="G68" s="388">
        <f>IF(ISBLANK(F68),"-",(F68/$D$50*$D$47*$B$68)*($B$57/$D$68))</f>
        <v>287.53055832592327</v>
      </c>
      <c r="H68" s="407">
        <f t="shared" si="0"/>
        <v>95.843519441974422</v>
      </c>
    </row>
    <row r="69" spans="1:8" ht="27" customHeight="1" x14ac:dyDescent="0.4">
      <c r="A69" s="312" t="s">
        <v>105</v>
      </c>
      <c r="B69" s="329">
        <f>(D47*B68)/B56*B57</f>
        <v>866.14949999999988</v>
      </c>
      <c r="C69" s="507"/>
      <c r="D69" s="510"/>
      <c r="E69" s="324">
        <v>2</v>
      </c>
      <c r="F69" s="277">
        <v>22437380</v>
      </c>
      <c r="G69" s="389">
        <f>IF(ISBLANK(F69),"-",(F69/$D$50*$D$47*$B$68)*($B$57/$D$68))</f>
        <v>287.81386488934322</v>
      </c>
      <c r="H69" s="407">
        <f t="shared" si="0"/>
        <v>95.937954963114407</v>
      </c>
    </row>
    <row r="70" spans="1:8" ht="26.25" customHeight="1" x14ac:dyDescent="0.4">
      <c r="A70" s="519" t="s">
        <v>78</v>
      </c>
      <c r="B70" s="520"/>
      <c r="C70" s="507"/>
      <c r="D70" s="510"/>
      <c r="E70" s="324">
        <v>3</v>
      </c>
      <c r="F70" s="277">
        <v>22561232</v>
      </c>
      <c r="G70" s="389">
        <f>IF(ISBLANK(F70),"-",(F70/$D$50*$D$47*$B$68)*($B$57/$D$68))</f>
        <v>289.40256743813791</v>
      </c>
      <c r="H70" s="407">
        <f t="shared" si="0"/>
        <v>96.467522479379298</v>
      </c>
    </row>
    <row r="71" spans="1:8" ht="27" customHeight="1" x14ac:dyDescent="0.4">
      <c r="A71" s="521"/>
      <c r="B71" s="522"/>
      <c r="C71" s="518"/>
      <c r="D71" s="511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285.31216073986775</v>
      </c>
      <c r="H72" s="409">
        <f>AVERAGE(H60:H71)</f>
        <v>95.104053579955931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8.6777795704439387E-3</v>
      </c>
      <c r="H73" s="393">
        <f>STDEV(H60:H71)/H72</f>
        <v>8.6777795704439196E-3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514" t="str">
        <f>B26</f>
        <v xml:space="preserve">Lamivudine </v>
      </c>
      <c r="D76" s="514"/>
      <c r="E76" s="338" t="s">
        <v>108</v>
      </c>
      <c r="F76" s="338"/>
      <c r="G76" s="425">
        <f>H72</f>
        <v>95.104053579955931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500" t="str">
        <f>B26</f>
        <v xml:space="preserve">Lamivudine </v>
      </c>
      <c r="C79" s="500"/>
    </row>
    <row r="80" spans="1:8" ht="26.25" customHeight="1" x14ac:dyDescent="0.4">
      <c r="A80" s="249" t="s">
        <v>48</v>
      </c>
      <c r="B80" s="500" t="str">
        <f>B27</f>
        <v>L3-10</v>
      </c>
      <c r="C80" s="500"/>
    </row>
    <row r="81" spans="1:12" ht="27" customHeight="1" x14ac:dyDescent="0.4">
      <c r="A81" s="249" t="s">
        <v>6</v>
      </c>
      <c r="B81" s="341">
        <f>B28</f>
        <v>99.39</v>
      </c>
    </row>
    <row r="82" spans="1:12" s="3" customFormat="1" ht="27" customHeight="1" x14ac:dyDescent="0.4">
      <c r="A82" s="249" t="s">
        <v>49</v>
      </c>
      <c r="B82" s="251">
        <v>0</v>
      </c>
      <c r="C82" s="491" t="s">
        <v>50</v>
      </c>
      <c r="D82" s="492"/>
      <c r="E82" s="492"/>
      <c r="F82" s="492"/>
      <c r="G82" s="493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99.39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94" t="s">
        <v>111</v>
      </c>
      <c r="D84" s="495"/>
      <c r="E84" s="495"/>
      <c r="F84" s="495"/>
      <c r="G84" s="495"/>
      <c r="H84" s="496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94" t="s">
        <v>112</v>
      </c>
      <c r="D85" s="495"/>
      <c r="E85" s="495"/>
      <c r="F85" s="495"/>
      <c r="G85" s="495"/>
      <c r="H85" s="496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50</v>
      </c>
      <c r="D89" s="342" t="s">
        <v>59</v>
      </c>
      <c r="E89" s="343"/>
      <c r="F89" s="497" t="s">
        <v>60</v>
      </c>
      <c r="G89" s="499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>
        <v>5445746</v>
      </c>
      <c r="E91" s="273">
        <f>IF(ISBLANK(D91),"-",$D$101/$D$98*D91)</f>
        <v>4999241.7248867732</v>
      </c>
      <c r="F91" s="272">
        <v>5097995</v>
      </c>
      <c r="G91" s="274">
        <f>IF(ISBLANK(F91),"-",$D$101/$F$98*F91)</f>
        <v>4909971.5668256646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5444370</v>
      </c>
      <c r="E92" s="278">
        <f>IF(ISBLANK(D92),"-",$D$101/$D$98*D92)</f>
        <v>4997978.5450371355</v>
      </c>
      <c r="F92" s="277">
        <v>5102193</v>
      </c>
      <c r="G92" s="279">
        <f>IF(ISBLANK(F92),"-",$D$101/$F$98*F92)</f>
        <v>4914014.7368635982</v>
      </c>
      <c r="I92" s="501">
        <f>ABS((F96/D96*D95)-F95)/D95</f>
        <v>1.6109685606304408E-2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5434068</v>
      </c>
      <c r="E93" s="278">
        <f>IF(ISBLANK(D93),"-",$D$101/$D$98*D93)</f>
        <v>4988521.2203198634</v>
      </c>
      <c r="F93" s="277">
        <v>5096443</v>
      </c>
      <c r="G93" s="279">
        <f>IF(ISBLANK(F93),"-",$D$101/$F$98*F93)</f>
        <v>4908476.807440511</v>
      </c>
      <c r="I93" s="501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5441394.666666667</v>
      </c>
      <c r="E95" s="288">
        <f>AVERAGE(E91:E94)</f>
        <v>4995247.163414591</v>
      </c>
      <c r="F95" s="351">
        <f>AVERAGE(F91:F94)</f>
        <v>5098877</v>
      </c>
      <c r="G95" s="352">
        <f>AVERAGE(G91:G94)</f>
        <v>4910821.0370432585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16.440000000000001</v>
      </c>
      <c r="E96" s="280"/>
      <c r="F96" s="292">
        <v>15.67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16.440000000000001</v>
      </c>
      <c r="E97" s="295"/>
      <c r="F97" s="294">
        <f>F96*$B$87</f>
        <v>15.67</v>
      </c>
    </row>
    <row r="98" spans="1:10" ht="19.5" customHeight="1" x14ac:dyDescent="0.3">
      <c r="A98" s="264" t="s">
        <v>76</v>
      </c>
      <c r="B98" s="357">
        <f>(B97/B96)*(B95/B94)*(B93/B92)*(B91/B90)*B89</f>
        <v>50</v>
      </c>
      <c r="C98" s="355" t="s">
        <v>115</v>
      </c>
      <c r="D98" s="358">
        <f>D97*$B$83/100</f>
        <v>16.339715999999999</v>
      </c>
      <c r="E98" s="298"/>
      <c r="F98" s="297">
        <f>F97*$B$83/100</f>
        <v>15.574413</v>
      </c>
    </row>
    <row r="99" spans="1:10" ht="19.5" customHeight="1" x14ac:dyDescent="0.3">
      <c r="A99" s="502" t="s">
        <v>78</v>
      </c>
      <c r="B99" s="516"/>
      <c r="C99" s="355" t="s">
        <v>116</v>
      </c>
      <c r="D99" s="359">
        <f>D98/$B$98</f>
        <v>0.32679431999999997</v>
      </c>
      <c r="E99" s="298"/>
      <c r="F99" s="301">
        <f>F98/$B$98</f>
        <v>0.31148826000000002</v>
      </c>
      <c r="G99" s="360"/>
      <c r="H99" s="290"/>
    </row>
    <row r="100" spans="1:10" ht="19.5" customHeight="1" x14ac:dyDescent="0.3">
      <c r="A100" s="504"/>
      <c r="B100" s="517"/>
      <c r="C100" s="355" t="s">
        <v>80</v>
      </c>
      <c r="D100" s="361">
        <f>$B$56/$B$116</f>
        <v>0.3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15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15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4953034.1002289243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9.3731840591991817E-3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1000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4890526</v>
      </c>
      <c r="E108" s="390">
        <f t="shared" ref="E108:E113" si="1">IF(ISBLANK(D108),"-",D108/$D$103*$D$100*$B$116)</f>
        <v>296.21395094618657</v>
      </c>
      <c r="F108" s="417">
        <f t="shared" ref="F108:F113" si="2">IF(ISBLANK(D108), "-", (E108/$B$56)*100)</f>
        <v>98.737983648728857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4880567</v>
      </c>
      <c r="E109" s="391">
        <f t="shared" si="1"/>
        <v>295.61074492346569</v>
      </c>
      <c r="F109" s="418">
        <f t="shared" si="2"/>
        <v>98.536914974488568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4893374</v>
      </c>
      <c r="E110" s="391">
        <f t="shared" si="1"/>
        <v>296.38645127279659</v>
      </c>
      <c r="F110" s="418">
        <f t="shared" si="2"/>
        <v>98.795483757598873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4878369</v>
      </c>
      <c r="E111" s="391">
        <f t="shared" si="1"/>
        <v>295.47761440454406</v>
      </c>
      <c r="F111" s="418">
        <f t="shared" si="2"/>
        <v>98.492538134848019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4882832</v>
      </c>
      <c r="E112" s="391">
        <f t="shared" si="1"/>
        <v>295.74793356102595</v>
      </c>
      <c r="F112" s="418">
        <f t="shared" si="2"/>
        <v>98.582644520341972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4893904</v>
      </c>
      <c r="E113" s="392">
        <f t="shared" si="1"/>
        <v>296.41855280829634</v>
      </c>
      <c r="F113" s="419">
        <f t="shared" si="2"/>
        <v>98.806184269432123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295.97587465271926</v>
      </c>
      <c r="F115" s="421">
        <f>AVERAGE(F108:F113)</f>
        <v>98.658624884239757</v>
      </c>
    </row>
    <row r="116" spans="1:10" ht="27" customHeight="1" x14ac:dyDescent="0.4">
      <c r="A116" s="264" t="s">
        <v>103</v>
      </c>
      <c r="B116" s="296">
        <f>(B115/B114)*(B113/B112)*(B111/B110)*(B109/B108)*B107</f>
        <v>1000</v>
      </c>
      <c r="C116" s="374"/>
      <c r="D116" s="398" t="s">
        <v>84</v>
      </c>
      <c r="E116" s="396">
        <f>STDEV(E108:E113)/E115</f>
        <v>1.3969477495260349E-3</v>
      </c>
      <c r="F116" s="375">
        <f>STDEV(F108:F113)/F115</f>
        <v>1.3969477495260766E-3</v>
      </c>
      <c r="I116" s="238"/>
    </row>
    <row r="117" spans="1:10" ht="27" customHeight="1" x14ac:dyDescent="0.4">
      <c r="A117" s="502" t="s">
        <v>78</v>
      </c>
      <c r="B117" s="503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504"/>
      <c r="B118" s="505"/>
      <c r="C118" s="238"/>
      <c r="D118" s="400"/>
      <c r="E118" s="482" t="s">
        <v>123</v>
      </c>
      <c r="F118" s="483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295.47761440454406</v>
      </c>
      <c r="F119" s="422">
        <f>MIN(F108:F113)</f>
        <v>98.492538134848019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296.41855280829634</v>
      </c>
      <c r="F120" s="423">
        <f>MAX(F108:F113)</f>
        <v>98.806184269432123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514" t="str">
        <f>B26</f>
        <v xml:space="preserve">Lamivudine </v>
      </c>
      <c r="D124" s="514"/>
      <c r="E124" s="338" t="s">
        <v>127</v>
      </c>
      <c r="F124" s="338"/>
      <c r="G124" s="424">
        <f>F115</f>
        <v>98.658624884239757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98.492538134848019</v>
      </c>
      <c r="E125" s="349" t="s">
        <v>130</v>
      </c>
      <c r="F125" s="424">
        <f>MAX(F108:F113)</f>
        <v>98.806184269432123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515" t="s">
        <v>26</v>
      </c>
      <c r="C127" s="515"/>
      <c r="E127" s="344" t="s">
        <v>27</v>
      </c>
      <c r="F127" s="379"/>
      <c r="G127" s="515" t="s">
        <v>28</v>
      </c>
      <c r="H127" s="515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TDF</vt:lpstr>
      <vt:lpstr>SST LAM</vt:lpstr>
      <vt:lpstr>Uniformity</vt:lpstr>
      <vt:lpstr>Tenofovir Disoproxil Fumarate</vt:lpstr>
      <vt:lpstr>Lamivudine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2017-10-05T06:28:29Z</cp:lastPrinted>
  <dcterms:created xsi:type="dcterms:W3CDTF">2005-07-05T10:19:27Z</dcterms:created>
  <dcterms:modified xsi:type="dcterms:W3CDTF">2017-10-05T06:29:35Z</dcterms:modified>
</cp:coreProperties>
</file>