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Lamivudine" sheetId="5" r:id="rId1"/>
    <sheet name="SST TDF" sheetId="7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0">'SST Lamivudine'!$A$15:$G$61</definedName>
    <definedName name="_xlnm.Print_Area" localSheetId="1">'SST TDF'!$A$15:$H$61</definedName>
    <definedName name="_xlnm.Print_Area" localSheetId="3">'Tenofovir Disoproxil Fumarate'!$A$1:$I$129</definedName>
    <definedName name="_xlnm.Print_Area" localSheetId="2">Uniformity!$A$12:$I$54</definedName>
  </definedNames>
  <calcPr calcId="144525"/>
</workbook>
</file>

<file path=xl/calcChain.xml><?xml version="1.0" encoding="utf-8"?>
<calcChain xmlns="http://schemas.openxmlformats.org/spreadsheetml/2006/main">
  <c r="B42" i="7" l="1"/>
  <c r="B53" i="7"/>
  <c r="F51" i="7"/>
  <c r="E51" i="7"/>
  <c r="D51" i="7"/>
  <c r="C51" i="7"/>
  <c r="B51" i="7"/>
  <c r="B52" i="7" s="1"/>
  <c r="B32" i="7"/>
  <c r="B31" i="7"/>
  <c r="F30" i="7"/>
  <c r="E30" i="7"/>
  <c r="D30" i="7"/>
  <c r="C30" i="7"/>
  <c r="B30" i="7"/>
  <c r="B21" i="7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B30" i="3"/>
  <c r="D50" i="2"/>
  <c r="C49" i="2"/>
  <c r="B49" i="2"/>
  <c r="C46" i="2"/>
  <c r="B57" i="4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D101" i="3" l="1"/>
  <c r="I92" i="3"/>
  <c r="D97" i="4"/>
  <c r="D98" i="4" s="1"/>
  <c r="I39" i="4"/>
  <c r="D49" i="3"/>
  <c r="F44" i="3"/>
  <c r="F45" i="3" s="1"/>
  <c r="G41" i="3" s="1"/>
  <c r="D44" i="3"/>
  <c r="D45" i="3"/>
  <c r="E39" i="3" s="1"/>
  <c r="F98" i="3"/>
  <c r="F99" i="3" s="1"/>
  <c r="F45" i="4"/>
  <c r="F46" i="4" s="1"/>
  <c r="D102" i="3"/>
  <c r="G91" i="3"/>
  <c r="B69" i="4"/>
  <c r="F98" i="4"/>
  <c r="G92" i="4" s="1"/>
  <c r="D24" i="2"/>
  <c r="D28" i="2"/>
  <c r="D32" i="2"/>
  <c r="D36" i="2"/>
  <c r="D40" i="2"/>
  <c r="D49" i="2"/>
  <c r="B57" i="3"/>
  <c r="B69" i="3" s="1"/>
  <c r="D44" i="4"/>
  <c r="D45" i="4" s="1"/>
  <c r="E41" i="4" s="1"/>
  <c r="D49" i="4"/>
  <c r="D102" i="4"/>
  <c r="C50" i="2"/>
  <c r="D97" i="3"/>
  <c r="D98" i="3" s="1"/>
  <c r="D99" i="3" s="1"/>
  <c r="G93" i="4" l="1"/>
  <c r="G94" i="4"/>
  <c r="E94" i="4"/>
  <c r="E91" i="4"/>
  <c r="E40" i="3"/>
  <c r="G39" i="4"/>
  <c r="E38" i="3"/>
  <c r="E42" i="3" s="1"/>
  <c r="E41" i="3"/>
  <c r="G38" i="3"/>
  <c r="D46" i="3"/>
  <c r="G40" i="3"/>
  <c r="G93" i="3"/>
  <c r="G39" i="3"/>
  <c r="F46" i="3"/>
  <c r="G94" i="3"/>
  <c r="G92" i="3"/>
  <c r="G38" i="4"/>
  <c r="G40" i="4"/>
  <c r="G41" i="4"/>
  <c r="E92" i="4"/>
  <c r="D46" i="4"/>
  <c r="E38" i="4"/>
  <c r="E91" i="3"/>
  <c r="E39" i="4"/>
  <c r="E40" i="4"/>
  <c r="F99" i="4"/>
  <c r="G91" i="4"/>
  <c r="E93" i="3"/>
  <c r="E92" i="3"/>
  <c r="D99" i="4"/>
  <c r="E93" i="4"/>
  <c r="E94" i="3"/>
  <c r="G95" i="3" l="1"/>
  <c r="G95" i="4"/>
  <c r="D105" i="4"/>
  <c r="E95" i="4"/>
  <c r="D50" i="3"/>
  <c r="G71" i="3" s="1"/>
  <c r="H71" i="3" s="1"/>
  <c r="G42" i="3"/>
  <c r="D52" i="3"/>
  <c r="G42" i="4"/>
  <c r="D103" i="4"/>
  <c r="D104" i="4" s="1"/>
  <c r="D50" i="4"/>
  <c r="E42" i="4"/>
  <c r="D52" i="4"/>
  <c r="G63" i="3"/>
  <c r="H63" i="3" s="1"/>
  <c r="G67" i="3"/>
  <c r="H67" i="3" s="1"/>
  <c r="E95" i="3"/>
  <c r="D105" i="3"/>
  <c r="D103" i="3"/>
  <c r="E108" i="4" l="1"/>
  <c r="F108" i="4" s="1"/>
  <c r="E110" i="4"/>
  <c r="F110" i="4" s="1"/>
  <c r="E112" i="4"/>
  <c r="F112" i="4" s="1"/>
  <c r="E109" i="4"/>
  <c r="F109" i="4" s="1"/>
  <c r="E111" i="4"/>
  <c r="F111" i="4" s="1"/>
  <c r="E113" i="4"/>
  <c r="F113" i="4" s="1"/>
  <c r="G66" i="3"/>
  <c r="H66" i="3" s="1"/>
  <c r="G68" i="3"/>
  <c r="H68" i="3" s="1"/>
  <c r="G61" i="3"/>
  <c r="H61" i="3" s="1"/>
  <c r="G64" i="3"/>
  <c r="H64" i="3" s="1"/>
  <c r="G65" i="3"/>
  <c r="H65" i="3" s="1"/>
  <c r="G60" i="3"/>
  <c r="H60" i="3" s="1"/>
  <c r="G70" i="3"/>
  <c r="H70" i="3" s="1"/>
  <c r="G69" i="3"/>
  <c r="H69" i="3" s="1"/>
  <c r="D51" i="3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D51" i="4"/>
  <c r="G70" i="4"/>
  <c r="H70" i="4" s="1"/>
  <c r="G67" i="4"/>
  <c r="H67" i="4" s="1"/>
  <c r="G65" i="4"/>
  <c r="H65" i="4" s="1"/>
  <c r="G63" i="4"/>
  <c r="H63" i="4" s="1"/>
  <c r="G61" i="4"/>
  <c r="H61" i="4" s="1"/>
  <c r="G71" i="4"/>
  <c r="H71" i="4" s="1"/>
  <c r="G68" i="4"/>
  <c r="H68" i="4" s="1"/>
  <c r="G69" i="4"/>
  <c r="H69" i="4" s="1"/>
  <c r="G66" i="4"/>
  <c r="H66" i="4" s="1"/>
  <c r="G62" i="4"/>
  <c r="H62" i="4" s="1"/>
  <c r="G60" i="4"/>
  <c r="G64" i="4"/>
  <c r="H64" i="4" s="1"/>
  <c r="E119" i="4" l="1"/>
  <c r="E117" i="4"/>
  <c r="E115" i="4"/>
  <c r="E116" i="4" s="1"/>
  <c r="E120" i="4"/>
  <c r="G74" i="3"/>
  <c r="G72" i="3"/>
  <c r="G73" i="3" s="1"/>
  <c r="H74" i="3"/>
  <c r="H72" i="3"/>
  <c r="G74" i="4"/>
  <c r="G72" i="4"/>
  <c r="G73" i="4" s="1"/>
  <c r="H60" i="4"/>
  <c r="E115" i="3"/>
  <c r="E116" i="3" s="1"/>
  <c r="E119" i="3"/>
  <c r="E117" i="3"/>
  <c r="E120" i="3"/>
  <c r="F108" i="3"/>
  <c r="F125" i="4"/>
  <c r="F120" i="4"/>
  <c r="F117" i="4"/>
  <c r="D125" i="4"/>
  <c r="F115" i="4"/>
  <c r="F119" i="4"/>
  <c r="G124" i="4" l="1"/>
  <c r="F116" i="4"/>
  <c r="F119" i="3"/>
  <c r="F125" i="3"/>
  <c r="F120" i="3"/>
  <c r="F117" i="3"/>
  <c r="D125" i="3"/>
  <c r="F115" i="3"/>
  <c r="H74" i="4"/>
  <c r="H72" i="4"/>
  <c r="G76" i="3"/>
  <c r="H73" i="3"/>
  <c r="G76" i="4" l="1"/>
  <c r="H73" i="4"/>
  <c r="G124" i="3"/>
  <c r="F116" i="3"/>
</calcChain>
</file>

<file path=xl/sharedStrings.xml><?xml version="1.0" encoding="utf-8"?>
<sst xmlns="http://schemas.openxmlformats.org/spreadsheetml/2006/main" count="454" uniqueCount="141">
  <si>
    <t>HPLC System Suitability Report</t>
  </si>
  <si>
    <t>Analysis Data</t>
  </si>
  <si>
    <t>Assay</t>
  </si>
  <si>
    <t>Sample(s)</t>
  </si>
  <si>
    <t>Reference Substance:</t>
  </si>
  <si>
    <t>LAMIVUDINE AND TENOFOVIR DISOPROXIL FUMARATE TABLETS 300 MG/ 300 MG</t>
  </si>
  <si>
    <t>% age Purity:</t>
  </si>
  <si>
    <t>NDQB201707072</t>
  </si>
  <si>
    <t>Weight (mg):</t>
  </si>
  <si>
    <t>Lamivudine and Tenofovir Disoproxil Fumarate</t>
  </si>
  <si>
    <t>Standard Conc (mg/mL):</t>
  </si>
  <si>
    <t>Each tablet contains Lamivudine 300mg and Tenofovir Disoproxil Fumarate 300mg</t>
  </si>
  <si>
    <t>2017-07-20 12:37:38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</si>
  <si>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</si>
  <si>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</si>
  <si>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</si>
  <si>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</si>
  <si>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</si>
  <si>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</si>
  <si>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</si>
  <si>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</si>
  <si>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</si>
  <si>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</si>
  <si>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</si>
  <si>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</si>
  <si>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</si>
  <si>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</si>
  <si>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</si>
  <si>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</si>
  <si>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</si>
  <si>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</si>
  <si>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</si>
  <si>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</si>
  <si>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</si>
  <si>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</si>
  <si>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</si>
  <si>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</si>
  <si>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</si>
  <si>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</si>
  <si>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</si>
  <si>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</si>
  <si>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</si>
  <si>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</si>
  <si>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</si>
  <si>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</si>
  <si>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</si>
  <si>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</si>
  <si>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</si>
  <si>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</si>
  <si>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</si>
  <si>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</si>
  <si>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</si>
  <si>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</si>
  <si>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</si>
  <si>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</si>
  <si>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</si>
  <si>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</si>
  <si>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</si>
  <si>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</si>
  <si>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</si>
  <si>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</si>
  <si>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</si>
  <si>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</si>
  <si>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</si>
  <si>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</si>
  <si>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</si>
  <si>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</si>
  <si>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</si>
  <si>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</si>
  <si>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</si>
  <si>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</si>
  <si>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</si>
  <si>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</si>
  <si>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</si>
  <si>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</si>
  <si>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</si>
  <si>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</si>
  <si>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</si>
  <si>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</si>
  <si>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</si>
  <si>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</si>
  <si>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</si>
  <si>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</si>
  <si>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</si>
  <si>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</si>
  <si>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</si>
  <si>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</si>
  <si>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</si>
  <si>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</si>
  <si>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</si>
  <si>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</si>
  <si>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</si>
  <si>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</si>
  <si>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</si>
  <si>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</si>
  <si>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</si>
  <si>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</si>
  <si>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</si>
  <si>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</si>
  <si>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</si>
  <si>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</si>
  <si>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</si>
  <si>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</si>
  <si>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</si>
  <si>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</si>
  <si>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</si>
  <si>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</si>
  <si>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</si>
  <si>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</si>
  <si>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</si>
  <si>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</si>
  <si>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</si>
  <si>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</si>
  <si>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</si>
  <si>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</si>
  <si>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</si>
  <si>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</si>
  <si>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</si>
  <si>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</si>
  <si>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</si>
  <si>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</si>
  <si>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</si>
  <si>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</si>
  <si>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</si>
  <si>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</si>
  <si>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</si>
  <si>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</si>
  <si>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</si>
  <si>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</si>
  <si>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</si>
  <si>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</si>
  <si>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</si>
  <si>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</si>
  <si>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Tenofovir Disoproxil Fumarate</t>
  </si>
  <si>
    <t>T11-10</t>
  </si>
  <si>
    <t>TENOFOVIR DISOPROXIL FUMARATE/  LAMIVUDINE/ EFAVIRENZ  TABLETS 300 MG/300 MG /600 MG</t>
  </si>
  <si>
    <t xml:space="preserve">Lamivudine </t>
  </si>
  <si>
    <t xml:space="preserve">                         Tenofovir Disoproxil Fumarate </t>
  </si>
  <si>
    <t>Resolution(USP)</t>
  </si>
  <si>
    <t>The number of Theoretical Plates (USP) for all peaks should be NLT 10000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</si>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</sst>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2" fillId="2" borderId="0" xfId="1" applyNumberFormat="1" applyFont="1" applyFill="1" applyBorder="1"/>
    <xf numFmtId="15" fontId="2" fillId="2" borderId="7" xfId="1" applyNumberFormat="1" applyFont="1" applyFill="1" applyBorder="1"/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E61" sqref="E6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135</v>
      </c>
      <c r="D17" s="432"/>
      <c r="E17" s="433"/>
    </row>
    <row r="18" spans="1:5" ht="16.5" customHeight="1" x14ac:dyDescent="0.3">
      <c r="A18" s="434" t="s">
        <v>4</v>
      </c>
      <c r="B18" s="431" t="s">
        <v>136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12.22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B20/100</f>
        <v>0.1222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20748081</v>
      </c>
      <c r="C24" s="440">
        <v>4450.3999999999996</v>
      </c>
      <c r="D24" s="441">
        <v>1</v>
      </c>
      <c r="E24" s="442">
        <v>4.0999999999999996</v>
      </c>
    </row>
    <row r="25" spans="1:5" ht="16.5" customHeight="1" x14ac:dyDescent="0.3">
      <c r="A25" s="439">
        <v>2</v>
      </c>
      <c r="B25" s="440">
        <v>20814651</v>
      </c>
      <c r="C25" s="440">
        <v>4467</v>
      </c>
      <c r="D25" s="441">
        <v>1</v>
      </c>
      <c r="E25" s="441">
        <v>4.0999999999999996</v>
      </c>
    </row>
    <row r="26" spans="1:5" ht="16.5" customHeight="1" x14ac:dyDescent="0.3">
      <c r="A26" s="439">
        <v>3</v>
      </c>
      <c r="B26" s="440">
        <v>20723372</v>
      </c>
      <c r="C26" s="440">
        <v>4498.1000000000004</v>
      </c>
      <c r="D26" s="441">
        <v>1</v>
      </c>
      <c r="E26" s="441">
        <v>4.0999999999999996</v>
      </c>
    </row>
    <row r="27" spans="1:5" ht="16.5" customHeight="1" x14ac:dyDescent="0.3">
      <c r="A27" s="439">
        <v>4</v>
      </c>
      <c r="B27" s="440">
        <v>20759087</v>
      </c>
      <c r="C27" s="440">
        <v>4506.5</v>
      </c>
      <c r="D27" s="441">
        <v>1</v>
      </c>
      <c r="E27" s="441">
        <v>4.0999999999999996</v>
      </c>
    </row>
    <row r="28" spans="1:5" ht="16.5" customHeight="1" x14ac:dyDescent="0.3">
      <c r="A28" s="439">
        <v>5</v>
      </c>
      <c r="B28" s="440">
        <v>20635393</v>
      </c>
      <c r="C28" s="440">
        <v>4522.3</v>
      </c>
      <c r="D28" s="441">
        <v>1</v>
      </c>
      <c r="E28" s="441">
        <v>4.0999999999999996</v>
      </c>
    </row>
    <row r="29" spans="1:5" ht="16.5" customHeight="1" x14ac:dyDescent="0.3">
      <c r="A29" s="439">
        <v>6</v>
      </c>
      <c r="B29" s="443">
        <v>20850103</v>
      </c>
      <c r="C29" s="443">
        <v>4476.1000000000004</v>
      </c>
      <c r="D29" s="444">
        <v>1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20755114.5</v>
      </c>
      <c r="C30" s="447">
        <f>AVERAGE(C24:C29)</f>
        <v>4486.7333333333336</v>
      </c>
      <c r="D30" s="448">
        <f>AVERAGE(D24:D29)</f>
        <v>1</v>
      </c>
      <c r="E30" s="448">
        <f>AVERAGE(E24:E29)</f>
        <v>4.1000000000000005</v>
      </c>
    </row>
    <row r="31" spans="1:5" ht="16.5" customHeight="1" x14ac:dyDescent="0.3">
      <c r="A31" s="449" t="s">
        <v>19</v>
      </c>
      <c r="B31" s="450">
        <f>(STDEV(B24:B29)/B30)</f>
        <v>3.6038204847486589E-3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136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16.440000000000001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0.32880000000000004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5437454</v>
      </c>
      <c r="C45" s="440">
        <v>477</v>
      </c>
      <c r="D45" s="441">
        <v>1.29</v>
      </c>
      <c r="E45" s="442">
        <v>2.2999999999999998</v>
      </c>
    </row>
    <row r="46" spans="1:5" ht="16.5" customHeight="1" x14ac:dyDescent="0.3">
      <c r="A46" s="439">
        <v>2</v>
      </c>
      <c r="B46" s="440">
        <v>5475638</v>
      </c>
      <c r="C46" s="440">
        <v>456</v>
      </c>
      <c r="D46" s="441">
        <v>1.29</v>
      </c>
      <c r="E46" s="441">
        <v>2.27</v>
      </c>
    </row>
    <row r="47" spans="1:5" ht="16.5" customHeight="1" x14ac:dyDescent="0.3">
      <c r="A47" s="439">
        <v>3</v>
      </c>
      <c r="B47" s="440">
        <v>5452020</v>
      </c>
      <c r="C47" s="440">
        <v>459</v>
      </c>
      <c r="D47" s="441">
        <v>1.28</v>
      </c>
      <c r="E47" s="441">
        <v>2.2799999999999998</v>
      </c>
    </row>
    <row r="48" spans="1:5" ht="16.5" customHeight="1" x14ac:dyDescent="0.3">
      <c r="A48" s="439">
        <v>4</v>
      </c>
      <c r="B48" s="440">
        <v>5461010</v>
      </c>
      <c r="C48" s="440">
        <v>462</v>
      </c>
      <c r="D48" s="441">
        <v>1.26</v>
      </c>
      <c r="E48" s="441">
        <v>2.29</v>
      </c>
    </row>
    <row r="49" spans="1:7" ht="16.5" customHeight="1" x14ac:dyDescent="0.3">
      <c r="A49" s="439">
        <v>5</v>
      </c>
      <c r="B49" s="440">
        <v>5445490</v>
      </c>
      <c r="C49" s="440">
        <v>456</v>
      </c>
      <c r="D49" s="441">
        <v>1.29</v>
      </c>
      <c r="E49" s="441">
        <v>2.29</v>
      </c>
    </row>
    <row r="50" spans="1:7" ht="16.5" customHeight="1" x14ac:dyDescent="0.3">
      <c r="A50" s="439">
        <v>6</v>
      </c>
      <c r="B50" s="443">
        <v>5457376</v>
      </c>
      <c r="C50" s="443">
        <v>454</v>
      </c>
      <c r="D50" s="444">
        <v>1.28</v>
      </c>
      <c r="E50" s="444">
        <v>2.29</v>
      </c>
    </row>
    <row r="51" spans="1:7" ht="16.5" customHeight="1" x14ac:dyDescent="0.3">
      <c r="A51" s="445" t="s">
        <v>18</v>
      </c>
      <c r="B51" s="446">
        <f>AVERAGE(B45:B50)</f>
        <v>5454831.333333333</v>
      </c>
      <c r="C51" s="447">
        <f>AVERAGE(C45:C50)</f>
        <v>460.66666666666669</v>
      </c>
      <c r="D51" s="448">
        <f>AVERAGE(D45:D50)</f>
        <v>1.2816666666666667</v>
      </c>
      <c r="E51" s="448">
        <f>AVERAGE(E45:E50)</f>
        <v>2.2866666666666666</v>
      </c>
    </row>
    <row r="52" spans="1:7" ht="16.5" customHeight="1" x14ac:dyDescent="0.3">
      <c r="A52" s="449" t="s">
        <v>19</v>
      </c>
      <c r="B52" s="450">
        <f>(STDEV(B45:B50)/B51)</f>
        <v>2.4247353172088264E-3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471" t="s">
        <v>26</v>
      </c>
      <c r="C59" s="471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 t="s">
        <v>140</v>
      </c>
      <c r="C60" s="467"/>
      <c r="E60" s="522">
        <v>43010</v>
      </c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3" workbookViewId="0">
      <selection activeCell="F61" sqref="F6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3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0" t="s">
        <v>0</v>
      </c>
      <c r="B15" s="470"/>
      <c r="C15" s="470"/>
      <c r="D15" s="470"/>
      <c r="E15" s="470"/>
      <c r="F15" s="470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135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137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B20/100</f>
        <v>0.113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138</v>
      </c>
      <c r="F23" s="437" t="s">
        <v>17</v>
      </c>
    </row>
    <row r="24" spans="1:6" ht="16.5" customHeight="1" x14ac:dyDescent="0.3">
      <c r="A24" s="439">
        <v>1</v>
      </c>
      <c r="B24" s="440">
        <v>9722180</v>
      </c>
      <c r="C24" s="440">
        <v>43315</v>
      </c>
      <c r="D24" s="441">
        <v>1.1000000000000001</v>
      </c>
      <c r="E24" s="441">
        <v>43.2</v>
      </c>
      <c r="F24" s="442">
        <v>16</v>
      </c>
    </row>
    <row r="25" spans="1:6" ht="16.5" customHeight="1" x14ac:dyDescent="0.3">
      <c r="A25" s="439">
        <v>2</v>
      </c>
      <c r="B25" s="440">
        <v>9752828</v>
      </c>
      <c r="C25" s="440">
        <v>43066.5</v>
      </c>
      <c r="D25" s="441">
        <v>1.1000000000000001</v>
      </c>
      <c r="E25" s="441">
        <v>43.2</v>
      </c>
      <c r="F25" s="441">
        <v>16</v>
      </c>
    </row>
    <row r="26" spans="1:6" ht="16.5" customHeight="1" x14ac:dyDescent="0.3">
      <c r="A26" s="439">
        <v>3</v>
      </c>
      <c r="B26" s="440">
        <v>9715168</v>
      </c>
      <c r="C26" s="440">
        <v>43341.5</v>
      </c>
      <c r="D26" s="441">
        <v>1.1000000000000001</v>
      </c>
      <c r="E26" s="441">
        <v>43.4</v>
      </c>
      <c r="F26" s="441">
        <v>16</v>
      </c>
    </row>
    <row r="27" spans="1:6" ht="16.5" customHeight="1" x14ac:dyDescent="0.3">
      <c r="A27" s="439">
        <v>4</v>
      </c>
      <c r="B27" s="440">
        <v>9731931</v>
      </c>
      <c r="C27" s="440">
        <v>42756.2</v>
      </c>
      <c r="D27" s="441">
        <v>1.1000000000000001</v>
      </c>
      <c r="E27" s="441">
        <v>43.2</v>
      </c>
      <c r="F27" s="441">
        <v>16</v>
      </c>
    </row>
    <row r="28" spans="1:6" ht="16.5" customHeight="1" x14ac:dyDescent="0.3">
      <c r="A28" s="439">
        <v>5</v>
      </c>
      <c r="B28" s="440">
        <v>9666731</v>
      </c>
      <c r="C28" s="440">
        <v>42861.1</v>
      </c>
      <c r="D28" s="441">
        <v>1.1000000000000001</v>
      </c>
      <c r="E28" s="441">
        <v>43.3</v>
      </c>
      <c r="F28" s="441">
        <v>16</v>
      </c>
    </row>
    <row r="29" spans="1:6" ht="16.5" customHeight="1" x14ac:dyDescent="0.3">
      <c r="A29" s="439">
        <v>6</v>
      </c>
      <c r="B29" s="443">
        <v>9784286</v>
      </c>
      <c r="C29" s="443">
        <v>42939.6</v>
      </c>
      <c r="D29" s="444">
        <v>1.1000000000000001</v>
      </c>
      <c r="E29" s="444">
        <v>43.1</v>
      </c>
      <c r="F29" s="444">
        <v>16</v>
      </c>
    </row>
    <row r="30" spans="1:6" ht="16.5" customHeight="1" x14ac:dyDescent="0.3">
      <c r="A30" s="445" t="s">
        <v>18</v>
      </c>
      <c r="B30" s="446">
        <f>AVERAGE(B24:B29)</f>
        <v>9728854</v>
      </c>
      <c r="C30" s="447">
        <f>AVERAGE(C24:C29)</f>
        <v>43046.65</v>
      </c>
      <c r="D30" s="448">
        <f>AVERAGE(D24:D29)</f>
        <v>1.0999999999999999</v>
      </c>
      <c r="E30" s="448">
        <f>AVERAGE(E24:E29)</f>
        <v>43.233333333333341</v>
      </c>
      <c r="F30" s="448">
        <f>AVERAGE(F24:F29)</f>
        <v>16</v>
      </c>
    </row>
    <row r="31" spans="1:6" ht="16.5" customHeight="1" x14ac:dyDescent="0.3">
      <c r="A31" s="449" t="s">
        <v>19</v>
      </c>
      <c r="B31" s="450">
        <f>(STDEV(B24:B29)/B30)</f>
        <v>4.0462184811820741E-3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139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5" t="s">
        <v>137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15.56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f>15.56/50</f>
        <v>0.31120000000000003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138</v>
      </c>
      <c r="F44" s="437" t="s">
        <v>17</v>
      </c>
    </row>
    <row r="45" spans="1:6" ht="16.5" customHeight="1" x14ac:dyDescent="0.3">
      <c r="A45" s="439">
        <v>1</v>
      </c>
      <c r="B45" s="523">
        <v>3835374</v>
      </c>
      <c r="C45" s="523">
        <v>9187</v>
      </c>
      <c r="D45" s="524">
        <v>1.23</v>
      </c>
      <c r="E45" s="524">
        <v>14.44</v>
      </c>
      <c r="F45" s="525">
        <v>7.64</v>
      </c>
    </row>
    <row r="46" spans="1:6" ht="16.5" customHeight="1" x14ac:dyDescent="0.3">
      <c r="A46" s="439">
        <v>2</v>
      </c>
      <c r="B46" s="523">
        <v>3848858</v>
      </c>
      <c r="C46" s="523">
        <v>9187</v>
      </c>
      <c r="D46" s="524">
        <v>1.23</v>
      </c>
      <c r="E46" s="524">
        <v>14.42</v>
      </c>
      <c r="F46" s="524">
        <v>7.64</v>
      </c>
    </row>
    <row r="47" spans="1:6" ht="16.5" customHeight="1" x14ac:dyDescent="0.3">
      <c r="A47" s="439">
        <v>3</v>
      </c>
      <c r="B47" s="523">
        <v>3833946</v>
      </c>
      <c r="C47" s="523">
        <v>9406</v>
      </c>
      <c r="D47" s="524">
        <v>1.24</v>
      </c>
      <c r="E47" s="524">
        <v>14.49</v>
      </c>
      <c r="F47" s="524">
        <v>7.64</v>
      </c>
    </row>
    <row r="48" spans="1:6" ht="16.5" customHeight="1" x14ac:dyDescent="0.3">
      <c r="A48" s="439">
        <v>4</v>
      </c>
      <c r="B48" s="523">
        <v>3839500</v>
      </c>
      <c r="C48" s="523">
        <v>9129</v>
      </c>
      <c r="D48" s="524">
        <v>1.21</v>
      </c>
      <c r="E48" s="524">
        <v>14.39</v>
      </c>
      <c r="F48" s="524">
        <v>7.65</v>
      </c>
    </row>
    <row r="49" spans="1:8" ht="16.5" customHeight="1" x14ac:dyDescent="0.3">
      <c r="A49" s="439">
        <v>5</v>
      </c>
      <c r="B49" s="523">
        <v>3832924</v>
      </c>
      <c r="C49" s="523">
        <v>9233</v>
      </c>
      <c r="D49" s="524">
        <v>1.22</v>
      </c>
      <c r="E49" s="524">
        <v>14.37</v>
      </c>
      <c r="F49" s="524">
        <v>7.65</v>
      </c>
    </row>
    <row r="50" spans="1:8" ht="16.5" customHeight="1" x14ac:dyDescent="0.3">
      <c r="A50" s="439">
        <v>6</v>
      </c>
      <c r="B50" s="526">
        <v>3840389</v>
      </c>
      <c r="C50" s="526">
        <v>9106</v>
      </c>
      <c r="D50" s="527">
        <v>1.25</v>
      </c>
      <c r="E50" s="527">
        <v>14.27</v>
      </c>
      <c r="F50" s="527">
        <v>7.65</v>
      </c>
    </row>
    <row r="51" spans="1:8" ht="16.5" customHeight="1" x14ac:dyDescent="0.3">
      <c r="A51" s="445" t="s">
        <v>18</v>
      </c>
      <c r="B51" s="446">
        <f>AVERAGE(B45:B50)</f>
        <v>3838498.5</v>
      </c>
      <c r="C51" s="447">
        <f>AVERAGE(C45:C50)</f>
        <v>9208</v>
      </c>
      <c r="D51" s="448">
        <f>AVERAGE(D45:D50)</f>
        <v>1.23</v>
      </c>
      <c r="E51" s="448">
        <f>AVERAGE(E45:E50)</f>
        <v>14.396666666666667</v>
      </c>
      <c r="F51" s="448">
        <f>AVERAGE(F45:F50)</f>
        <v>7.6449999999999996</v>
      </c>
    </row>
    <row r="52" spans="1:8" ht="16.5" customHeight="1" x14ac:dyDescent="0.3">
      <c r="A52" s="449" t="s">
        <v>19</v>
      </c>
      <c r="B52" s="450">
        <f>(STDEV(B45:B50)/B51)</f>
        <v>1.5344477023197872E-3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521"/>
      <c r="G58" s="463"/>
      <c r="H58" s="463"/>
    </row>
    <row r="59" spans="1:8" ht="15" customHeight="1" x14ac:dyDescent="0.3">
      <c r="B59" s="471" t="s">
        <v>26</v>
      </c>
      <c r="C59" s="471"/>
      <c r="F59" s="464" t="s">
        <v>27</v>
      </c>
      <c r="G59" s="465"/>
      <c r="H59" s="464" t="s">
        <v>28</v>
      </c>
    </row>
    <row r="60" spans="1:8" ht="15" customHeight="1" x14ac:dyDescent="0.3">
      <c r="A60" s="466" t="s">
        <v>29</v>
      </c>
      <c r="B60" s="467" t="s">
        <v>140</v>
      </c>
      <c r="C60" s="467"/>
      <c r="F60" s="522">
        <v>43036</v>
      </c>
      <c r="H60" s="467"/>
    </row>
    <row r="61" spans="1:8" ht="15" customHeight="1" x14ac:dyDescent="0.3">
      <c r="A61" s="466" t="s">
        <v>30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workbookViewId="0">
      <selection activeCell="M13" sqref="M1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43"/>
    </row>
    <row r="12" spans="1:7" ht="16.5" customHeight="1" x14ac:dyDescent="0.3">
      <c r="A12" s="474" t="s">
        <v>32</v>
      </c>
      <c r="B12" s="474"/>
      <c r="C12" s="474"/>
      <c r="D12" s="474"/>
      <c r="E12" s="474"/>
      <c r="F12" s="474"/>
      <c r="G12" s="42"/>
    </row>
    <row r="14" spans="1:7" ht="16.5" customHeight="1" x14ac:dyDescent="0.3">
      <c r="A14" s="479" t="s">
        <v>33</v>
      </c>
      <c r="B14" s="479"/>
      <c r="C14" s="12" t="s">
        <v>5</v>
      </c>
    </row>
    <row r="15" spans="1:7" ht="16.5" customHeight="1" x14ac:dyDescent="0.3">
      <c r="A15" s="479" t="s">
        <v>34</v>
      </c>
      <c r="B15" s="479"/>
      <c r="C15" s="12" t="s">
        <v>7</v>
      </c>
    </row>
    <row r="16" spans="1:7" ht="16.5" customHeight="1" x14ac:dyDescent="0.3">
      <c r="A16" s="479" t="s">
        <v>35</v>
      </c>
      <c r="B16" s="479"/>
      <c r="C16" s="12" t="s">
        <v>9</v>
      </c>
    </row>
    <row r="17" spans="1:5" ht="16.5" customHeight="1" x14ac:dyDescent="0.3">
      <c r="A17" s="479" t="s">
        <v>36</v>
      </c>
      <c r="B17" s="479"/>
      <c r="C17" s="12" t="s">
        <v>11</v>
      </c>
    </row>
    <row r="18" spans="1:5" ht="16.5" customHeight="1" x14ac:dyDescent="0.3">
      <c r="A18" s="479" t="s">
        <v>37</v>
      </c>
      <c r="B18" s="479"/>
      <c r="C18" s="49" t="s">
        <v>12</v>
      </c>
    </row>
    <row r="19" spans="1:5" ht="16.5" customHeight="1" x14ac:dyDescent="0.3">
      <c r="A19" s="479" t="s">
        <v>38</v>
      </c>
      <c r="B19" s="47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4" t="s">
        <v>1</v>
      </c>
      <c r="B21" s="474"/>
      <c r="C21" s="11" t="s">
        <v>39</v>
      </c>
      <c r="D21" s="18"/>
    </row>
    <row r="22" spans="1:5" ht="15.75" customHeight="1" x14ac:dyDescent="0.3">
      <c r="A22" s="478"/>
      <c r="B22" s="478"/>
      <c r="C22" s="9"/>
      <c r="D22" s="478"/>
      <c r="E22" s="47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867.13</v>
      </c>
      <c r="D24" s="39">
        <f t="shared" ref="D24:D43" si="0">(C24-$C$46)/$C$46</f>
        <v>2.6971632087280338E-3</v>
      </c>
      <c r="E24" s="5"/>
    </row>
    <row r="25" spans="1:5" ht="15.75" customHeight="1" x14ac:dyDescent="0.3">
      <c r="C25" s="47">
        <v>863.12</v>
      </c>
      <c r="D25" s="40">
        <f t="shared" si="0"/>
        <v>-1.9397604641549137E-3</v>
      </c>
      <c r="E25" s="5"/>
    </row>
    <row r="26" spans="1:5" ht="15.75" customHeight="1" x14ac:dyDescent="0.3">
      <c r="C26" s="47">
        <v>874.26</v>
      </c>
      <c r="D26" s="40">
        <f t="shared" si="0"/>
        <v>1.0941867893928899E-2</v>
      </c>
      <c r="E26" s="5"/>
    </row>
    <row r="27" spans="1:5" ht="15.75" customHeight="1" x14ac:dyDescent="0.3">
      <c r="C27" s="47">
        <v>869.01</v>
      </c>
      <c r="D27" s="40">
        <f t="shared" si="0"/>
        <v>4.8710825366631806E-3</v>
      </c>
      <c r="E27" s="5"/>
    </row>
    <row r="28" spans="1:5" ht="15.75" customHeight="1" x14ac:dyDescent="0.3">
      <c r="C28" s="47">
        <v>856.21</v>
      </c>
      <c r="D28" s="40">
        <f t="shared" si="0"/>
        <v>-9.9300703343846129E-3</v>
      </c>
      <c r="E28" s="5"/>
    </row>
    <row r="29" spans="1:5" ht="15.75" customHeight="1" x14ac:dyDescent="0.3">
      <c r="C29" s="47">
        <v>862.85</v>
      </c>
      <c r="D29" s="40">
        <f t="shared" si="0"/>
        <v>-2.2519722825285584E-3</v>
      </c>
      <c r="E29" s="5"/>
    </row>
    <row r="30" spans="1:5" ht="15.75" customHeight="1" x14ac:dyDescent="0.3">
      <c r="C30" s="47">
        <v>864.44</v>
      </c>
      <c r="D30" s="40">
        <f t="shared" si="0"/>
        <v>-4.133915743280468E-4</v>
      </c>
      <c r="E30" s="5"/>
    </row>
    <row r="31" spans="1:5" ht="15.75" customHeight="1" x14ac:dyDescent="0.3">
      <c r="C31" s="47">
        <v>867.4</v>
      </c>
      <c r="D31" s="40">
        <f t="shared" si="0"/>
        <v>3.0093750271016784E-3</v>
      </c>
      <c r="E31" s="5"/>
    </row>
    <row r="32" spans="1:5" ht="15.75" customHeight="1" x14ac:dyDescent="0.3">
      <c r="C32" s="47">
        <v>867.53</v>
      </c>
      <c r="D32" s="40">
        <f t="shared" si="0"/>
        <v>3.1596992359482524E-3</v>
      </c>
      <c r="E32" s="5"/>
    </row>
    <row r="33" spans="1:7" ht="15.75" customHeight="1" x14ac:dyDescent="0.3">
      <c r="C33" s="47">
        <v>869.6</v>
      </c>
      <c r="D33" s="40">
        <f t="shared" si="0"/>
        <v>5.5533231768130796E-3</v>
      </c>
      <c r="E33" s="5"/>
    </row>
    <row r="34" spans="1:7" ht="15.75" customHeight="1" x14ac:dyDescent="0.3">
      <c r="C34" s="47">
        <v>860.75</v>
      </c>
      <c r="D34" s="40">
        <f t="shared" si="0"/>
        <v>-4.6802864254348719E-3</v>
      </c>
      <c r="E34" s="5"/>
    </row>
    <row r="35" spans="1:7" ht="15.75" customHeight="1" x14ac:dyDescent="0.3">
      <c r="C35" s="47">
        <v>869.92</v>
      </c>
      <c r="D35" s="40">
        <f t="shared" si="0"/>
        <v>5.9233519985892021E-3</v>
      </c>
      <c r="E35" s="5"/>
    </row>
    <row r="36" spans="1:7" ht="15.75" customHeight="1" x14ac:dyDescent="0.3">
      <c r="C36" s="47">
        <v>862.2</v>
      </c>
      <c r="D36" s="40">
        <f t="shared" si="0"/>
        <v>-3.0035933267614306E-3</v>
      </c>
      <c r="E36" s="5"/>
    </row>
    <row r="37" spans="1:7" ht="15.75" customHeight="1" x14ac:dyDescent="0.3">
      <c r="C37" s="47">
        <v>863</v>
      </c>
      <c r="D37" s="40">
        <f t="shared" si="0"/>
        <v>-2.0785212723209924E-3</v>
      </c>
      <c r="E37" s="5"/>
    </row>
    <row r="38" spans="1:7" ht="15.75" customHeight="1" x14ac:dyDescent="0.3">
      <c r="C38" s="47">
        <v>855.27</v>
      </c>
      <c r="D38" s="40">
        <f t="shared" si="0"/>
        <v>-1.1017029998352253E-2</v>
      </c>
      <c r="E38" s="5"/>
    </row>
    <row r="39" spans="1:7" ht="15.75" customHeight="1" x14ac:dyDescent="0.3">
      <c r="C39" s="47">
        <v>865.42</v>
      </c>
      <c r="D39" s="40">
        <f t="shared" si="0"/>
        <v>7.1982169236144351E-4</v>
      </c>
      <c r="E39" s="5"/>
    </row>
    <row r="40" spans="1:7" ht="15.75" customHeight="1" x14ac:dyDescent="0.3">
      <c r="C40" s="47">
        <v>866.98</v>
      </c>
      <c r="D40" s="40">
        <f t="shared" si="0"/>
        <v>2.5237121985204683E-3</v>
      </c>
      <c r="E40" s="5"/>
    </row>
    <row r="41" spans="1:7" ht="15.75" customHeight="1" x14ac:dyDescent="0.3">
      <c r="C41" s="47">
        <v>861.54</v>
      </c>
      <c r="D41" s="40">
        <f t="shared" si="0"/>
        <v>-3.7667777716749295E-3</v>
      </c>
      <c r="E41" s="5"/>
    </row>
    <row r="42" spans="1:7" ht="15.75" customHeight="1" x14ac:dyDescent="0.3">
      <c r="C42" s="47">
        <v>865.45</v>
      </c>
      <c r="D42" s="40">
        <f t="shared" si="0"/>
        <v>7.5451189440306173E-4</v>
      </c>
      <c r="E42" s="5"/>
    </row>
    <row r="43" spans="1:7" ht="16.5" customHeight="1" x14ac:dyDescent="0.3">
      <c r="C43" s="48">
        <v>863.87</v>
      </c>
      <c r="D43" s="41">
        <f t="shared" si="0"/>
        <v>-1.0725054131169541E-3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17295.95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864.79750000000001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2">
        <f>C46</f>
        <v>864.79750000000001</v>
      </c>
      <c r="C49" s="45">
        <f>-IF(C46&lt;=80,10%,IF(C46&lt;250,7.5%,5%))</f>
        <v>-0.05</v>
      </c>
      <c r="D49" s="33">
        <f>IF(C46&lt;=80,C46*0.9,IF(C46&lt;250,C46*0.925,C46*0.95))</f>
        <v>821.55762500000003</v>
      </c>
    </row>
    <row r="50" spans="1:6" ht="17.25" customHeight="1" x14ac:dyDescent="0.3">
      <c r="B50" s="473"/>
      <c r="C50" s="46">
        <f>IF(C46&lt;=80, 10%, IF(C46&lt;250, 7.5%, 5%))</f>
        <v>0.05</v>
      </c>
      <c r="D50" s="33">
        <f>IF(C46&lt;=80, C46*1.1, IF(C46&lt;250, C46*1.075, C46*1.05))</f>
        <v>908.037375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0" t="s">
        <v>45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46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x14ac:dyDescent="0.3">
      <c r="A15" s="50"/>
    </row>
    <row r="16" spans="1:9" ht="19.5" customHeight="1" x14ac:dyDescent="0.3">
      <c r="A16" s="513" t="s">
        <v>31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47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52" t="s">
        <v>33</v>
      </c>
      <c r="B18" s="517" t="s">
        <v>5</v>
      </c>
      <c r="C18" s="517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12" t="s">
        <v>133</v>
      </c>
      <c r="C20" s="51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12" t="s">
        <v>11</v>
      </c>
      <c r="C21" s="512"/>
      <c r="D21" s="512"/>
      <c r="E21" s="512"/>
      <c r="F21" s="512"/>
      <c r="G21" s="512"/>
      <c r="H21" s="512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43010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2" t="s">
        <v>133</v>
      </c>
      <c r="C26" s="512"/>
    </row>
    <row r="27" spans="1:14" ht="26.25" customHeight="1" x14ac:dyDescent="0.4">
      <c r="A27" s="61" t="s">
        <v>48</v>
      </c>
      <c r="B27" s="518" t="s">
        <v>134</v>
      </c>
      <c r="C27" s="518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488" t="s">
        <v>50</v>
      </c>
      <c r="D29" s="489"/>
      <c r="E29" s="489"/>
      <c r="F29" s="489"/>
      <c r="G29" s="49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1" t="s">
        <v>53</v>
      </c>
      <c r="D31" s="492"/>
      <c r="E31" s="492"/>
      <c r="F31" s="492"/>
      <c r="G31" s="492"/>
      <c r="H31" s="49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1" t="s">
        <v>55</v>
      </c>
      <c r="D32" s="492"/>
      <c r="E32" s="492"/>
      <c r="F32" s="492"/>
      <c r="G32" s="492"/>
      <c r="H32" s="49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4" t="s">
        <v>59</v>
      </c>
      <c r="E36" s="519"/>
      <c r="F36" s="494" t="s">
        <v>60</v>
      </c>
      <c r="G36" s="49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9650009</v>
      </c>
      <c r="E38" s="85">
        <f>IF(ISBLANK(D38),"-",$D$48/$D$45*D38)</f>
        <v>10295154.880592316</v>
      </c>
      <c r="F38" s="84">
        <v>11214198</v>
      </c>
      <c r="G38" s="86">
        <f>IF(ISBLANK(F38),"-",$D$48/$F$45*F38)</f>
        <v>10746602.575344197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9756635</v>
      </c>
      <c r="E39" s="90">
        <f>IF(ISBLANK(D39),"-",$D$48/$D$45*D39)</f>
        <v>10408909.301370373</v>
      </c>
      <c r="F39" s="89">
        <v>11134525</v>
      </c>
      <c r="G39" s="91">
        <f>IF(ISBLANK(F39),"-",$D$48/$F$45*F39)</f>
        <v>10670251.679186897</v>
      </c>
      <c r="I39" s="496">
        <f>ABS((F43/D43*D42)-F42)/D42</f>
        <v>3.7764174998303437E-2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9766366</v>
      </c>
      <c r="E40" s="90">
        <f>IF(ISBLANK(D40),"-",$D$48/$D$45*D40)</f>
        <v>10419290.861858353</v>
      </c>
      <c r="F40" s="89">
        <v>11230535</v>
      </c>
      <c r="G40" s="91">
        <f>IF(ISBLANK(F40),"-",$D$48/$F$45*F40)</f>
        <v>10762258.375810124</v>
      </c>
      <c r="I40" s="496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9724336.666666666</v>
      </c>
      <c r="E42" s="100">
        <f>AVERAGE(E38:E41)</f>
        <v>10374451.681273682</v>
      </c>
      <c r="F42" s="99">
        <f>AVERAGE(F38:F41)</f>
        <v>11193086</v>
      </c>
      <c r="G42" s="101">
        <f>AVERAGE(G38:G41)</f>
        <v>10726370.876780406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11.3</v>
      </c>
      <c r="E43" s="92"/>
      <c r="F43" s="104">
        <v>12.58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11.3</v>
      </c>
      <c r="E44" s="107"/>
      <c r="F44" s="106">
        <f>F43*$B$34</f>
        <v>12.58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11.248020000000002</v>
      </c>
      <c r="E45" s="110"/>
      <c r="F45" s="109">
        <f>F44*$B$30/100</f>
        <v>12.522132000000001</v>
      </c>
      <c r="H45" s="102"/>
    </row>
    <row r="46" spans="1:14" ht="19.5" customHeight="1" x14ac:dyDescent="0.3">
      <c r="A46" s="482" t="s">
        <v>78</v>
      </c>
      <c r="B46" s="483"/>
      <c r="C46" s="105" t="s">
        <v>79</v>
      </c>
      <c r="D46" s="111">
        <f>D45/$B$45</f>
        <v>0.11248020000000002</v>
      </c>
      <c r="E46" s="112"/>
      <c r="F46" s="113">
        <f>F45/$B$45</f>
        <v>0.12522132</v>
      </c>
      <c r="H46" s="102"/>
    </row>
    <row r="47" spans="1:14" ht="27" customHeight="1" x14ac:dyDescent="0.4">
      <c r="A47" s="484"/>
      <c r="B47" s="485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10550411.279027043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1.8961494354195696E-2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Lamivudine 300mg and Tenofovir Disoproxil Fumarate 300mg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Disoproxil Fumarate</v>
      </c>
      <c r="H56" s="131"/>
    </row>
    <row r="57" spans="1:12" ht="18.75" x14ac:dyDescent="0.3">
      <c r="A57" s="128" t="s">
        <v>88</v>
      </c>
      <c r="B57" s="199">
        <f>Uniformity!C46</f>
        <v>864.79750000000001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499" t="s">
        <v>94</v>
      </c>
      <c r="D60" s="502">
        <v>864.59</v>
      </c>
      <c r="E60" s="134">
        <v>1</v>
      </c>
      <c r="F60" s="135">
        <v>10216373</v>
      </c>
      <c r="G60" s="200">
        <f>IF(ISBLANK(F60),"-",(F60/$D$50*$D$47*$B$68)*($B$57/$D$60))</f>
        <v>290.57137130551979</v>
      </c>
      <c r="H60" s="218">
        <f t="shared" ref="H60:H71" si="0">IF(ISBLANK(F60),"-",(G60/$B$56)*100)</f>
        <v>96.857123768506597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00"/>
      <c r="D61" s="503"/>
      <c r="E61" s="136">
        <v>2</v>
      </c>
      <c r="F61" s="89">
        <v>10370978</v>
      </c>
      <c r="G61" s="201">
        <f>IF(ISBLANK(F61),"-",(F61/$D$50*$D$47*$B$68)*($B$57/$D$60))</f>
        <v>294.96860571157458</v>
      </c>
      <c r="H61" s="219">
        <f t="shared" si="0"/>
        <v>98.322868570524861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0"/>
      <c r="D62" s="503"/>
      <c r="E62" s="136">
        <v>3</v>
      </c>
      <c r="F62" s="137">
        <v>10332435</v>
      </c>
      <c r="G62" s="201">
        <f>IF(ISBLANK(F62),"-",(F62/$D$50*$D$47*$B$68)*($B$57/$D$60))</f>
        <v>293.87237592785107</v>
      </c>
      <c r="H62" s="219">
        <f t="shared" si="0"/>
        <v>97.957458642617027</v>
      </c>
      <c r="L62" s="64"/>
    </row>
    <row r="63" spans="1:12" ht="27" customHeight="1" x14ac:dyDescent="0.4">
      <c r="A63" s="76" t="s">
        <v>97</v>
      </c>
      <c r="B63" s="77">
        <v>1</v>
      </c>
      <c r="C63" s="509"/>
      <c r="D63" s="504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99" t="s">
        <v>99</v>
      </c>
      <c r="D64" s="502">
        <v>869.5</v>
      </c>
      <c r="E64" s="134">
        <v>1</v>
      </c>
      <c r="F64" s="135">
        <v>10363865</v>
      </c>
      <c r="G64" s="200">
        <f>IF(ISBLANK(F64),"-",(F64/$D$50*$D$47*$B$68)*($B$57/$D$64))</f>
        <v>293.1017769018747</v>
      </c>
      <c r="H64" s="218">
        <f t="shared" si="0"/>
        <v>97.700592300624905</v>
      </c>
    </row>
    <row r="65" spans="1:8" ht="26.25" customHeight="1" x14ac:dyDescent="0.4">
      <c r="A65" s="76" t="s">
        <v>100</v>
      </c>
      <c r="B65" s="77">
        <v>1</v>
      </c>
      <c r="C65" s="500"/>
      <c r="D65" s="503"/>
      <c r="E65" s="136">
        <v>2</v>
      </c>
      <c r="F65" s="89">
        <v>10306277</v>
      </c>
      <c r="G65" s="201">
        <f>IF(ISBLANK(F65),"-",(F65/$D$50*$D$47*$B$68)*($B$57/$D$64))</f>
        <v>291.47312339005987</v>
      </c>
      <c r="H65" s="219">
        <f t="shared" si="0"/>
        <v>97.157707796686623</v>
      </c>
    </row>
    <row r="66" spans="1:8" ht="26.25" customHeight="1" x14ac:dyDescent="0.4">
      <c r="A66" s="76" t="s">
        <v>101</v>
      </c>
      <c r="B66" s="77">
        <v>1</v>
      </c>
      <c r="C66" s="500"/>
      <c r="D66" s="503"/>
      <c r="E66" s="136">
        <v>3</v>
      </c>
      <c r="F66" s="89">
        <v>10387514</v>
      </c>
      <c r="G66" s="201">
        <f>IF(ISBLANK(F66),"-",(F66/$D$50*$D$47*$B$68)*($B$57/$D$64))</f>
        <v>293.77059726203498</v>
      </c>
      <c r="H66" s="219">
        <f t="shared" si="0"/>
        <v>97.923532420678328</v>
      </c>
    </row>
    <row r="67" spans="1:8" ht="27" customHeight="1" x14ac:dyDescent="0.4">
      <c r="A67" s="76" t="s">
        <v>102</v>
      </c>
      <c r="B67" s="77">
        <v>1</v>
      </c>
      <c r="C67" s="509"/>
      <c r="D67" s="504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499" t="s">
        <v>104</v>
      </c>
      <c r="D68" s="502">
        <v>862.42</v>
      </c>
      <c r="E68" s="134">
        <v>1</v>
      </c>
      <c r="F68" s="135"/>
      <c r="G68" s="200" t="str">
        <f>IF(ISBLANK(F68),"-",(F68/$D$50*$D$47*$B$68)*($B$57/$D$68))</f>
        <v>-</v>
      </c>
      <c r="H68" s="219" t="str">
        <f t="shared" si="0"/>
        <v>-</v>
      </c>
    </row>
    <row r="69" spans="1:8" ht="27" customHeight="1" x14ac:dyDescent="0.4">
      <c r="A69" s="124" t="s">
        <v>105</v>
      </c>
      <c r="B69" s="141">
        <f>(D47*B68)/B56*B57</f>
        <v>864.79750000000001</v>
      </c>
      <c r="C69" s="500"/>
      <c r="D69" s="503"/>
      <c r="E69" s="136">
        <v>2</v>
      </c>
      <c r="F69" s="89"/>
      <c r="G69" s="201" t="str">
        <f>IF(ISBLANK(F69),"-",(F69/$D$50*$D$47*$B$68)*($B$57/$D$68))</f>
        <v>-</v>
      </c>
      <c r="H69" s="219" t="str">
        <f t="shared" si="0"/>
        <v>-</v>
      </c>
    </row>
    <row r="70" spans="1:8" ht="26.25" customHeight="1" x14ac:dyDescent="0.4">
      <c r="A70" s="505" t="s">
        <v>78</v>
      </c>
      <c r="B70" s="506"/>
      <c r="C70" s="500"/>
      <c r="D70" s="503"/>
      <c r="E70" s="136">
        <v>3</v>
      </c>
      <c r="F70" s="89"/>
      <c r="G70" s="201" t="str">
        <f>IF(ISBLANK(F70),"-",(F70/$D$50*$D$47*$B$68)*($B$57/$D$68))</f>
        <v>-</v>
      </c>
      <c r="H70" s="219" t="str">
        <f t="shared" si="0"/>
        <v>-</v>
      </c>
    </row>
    <row r="71" spans="1:8" ht="27" customHeight="1" x14ac:dyDescent="0.4">
      <c r="A71" s="507"/>
      <c r="B71" s="508"/>
      <c r="C71" s="501"/>
      <c r="D71" s="504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292.95964174981913</v>
      </c>
      <c r="H72" s="221">
        <f>AVERAGE(H60:H71)</f>
        <v>97.65321391660639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5.6006300911761878E-3</v>
      </c>
      <c r="H73" s="205">
        <f>STDEV(H60:H71)/H72</f>
        <v>5.600630091176193E-3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106</v>
      </c>
      <c r="B76" s="149" t="s">
        <v>107</v>
      </c>
      <c r="C76" s="486" t="str">
        <f>B26</f>
        <v>Tenofovir Disoproxil Fumarate</v>
      </c>
      <c r="D76" s="486"/>
      <c r="E76" s="150" t="s">
        <v>108</v>
      </c>
      <c r="F76" s="150"/>
      <c r="G76" s="237">
        <f>H72</f>
        <v>97.65321391660639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20" t="str">
        <f>B26</f>
        <v>Tenofovir Disoproxil Fumarate</v>
      </c>
      <c r="C79" s="520"/>
    </row>
    <row r="80" spans="1:8" ht="26.25" customHeight="1" x14ac:dyDescent="0.4">
      <c r="A80" s="61" t="s">
        <v>48</v>
      </c>
      <c r="B80" s="520" t="str">
        <f>B27</f>
        <v>T11-10</v>
      </c>
      <c r="C80" s="520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488" t="s">
        <v>50</v>
      </c>
      <c r="D82" s="489"/>
      <c r="E82" s="489"/>
      <c r="F82" s="489"/>
      <c r="G82" s="49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1" t="s">
        <v>111</v>
      </c>
      <c r="D84" s="492"/>
      <c r="E84" s="492"/>
      <c r="F84" s="492"/>
      <c r="G84" s="492"/>
      <c r="H84" s="49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1" t="s">
        <v>112</v>
      </c>
      <c r="D85" s="492"/>
      <c r="E85" s="492"/>
      <c r="F85" s="492"/>
      <c r="G85" s="492"/>
      <c r="H85" s="49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494" t="s">
        <v>60</v>
      </c>
      <c r="G89" s="495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3836260</v>
      </c>
      <c r="E91" s="85">
        <f>IF(ISBLANK(D91),"-",$D$101/$D$98*D91)</f>
        <v>3715284.3956234665</v>
      </c>
      <c r="F91" s="84">
        <v>3571211</v>
      </c>
      <c r="G91" s="86">
        <f>IF(ISBLANK(F91),"-",$D$101/$F$98*F91)</f>
        <v>3747612.6253188057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3830760</v>
      </c>
      <c r="E92" s="90">
        <f>IF(ISBLANK(D92),"-",$D$101/$D$98*D92)</f>
        <v>3709957.8368980596</v>
      </c>
      <c r="F92" s="89">
        <v>3572406</v>
      </c>
      <c r="G92" s="91">
        <f>IF(ISBLANK(F92),"-",$D$101/$F$98*F92)</f>
        <v>3748866.6528985975</v>
      </c>
      <c r="I92" s="496">
        <f>ABS((F96/D96*D95)-F95)/D95</f>
        <v>9.3588984561394188E-3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3827872</v>
      </c>
      <c r="E93" s="90">
        <f>IF(ISBLANK(D93),"-",$D$101/$D$98*D93)</f>
        <v>3707160.9093346098</v>
      </c>
      <c r="F93" s="89">
        <v>3572359</v>
      </c>
      <c r="G93" s="91">
        <f>IF(ISBLANK(F93),"-",$D$101/$F$98*F93)</f>
        <v>3748817.3313117777</v>
      </c>
      <c r="I93" s="496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3831630.6666666665</v>
      </c>
      <c r="E95" s="100">
        <f>AVERAGE(E91:E94)</f>
        <v>3710801.0472853784</v>
      </c>
      <c r="F95" s="163">
        <f>AVERAGE(F91:F94)</f>
        <v>3571992</v>
      </c>
      <c r="G95" s="164">
        <f>AVERAGE(G91:G94)</f>
        <v>3748432.2031763936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15.56</v>
      </c>
      <c r="E96" s="92"/>
      <c r="F96" s="104">
        <v>14.36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15.56</v>
      </c>
      <c r="E97" s="107"/>
      <c r="F97" s="106">
        <f>F96*$B$87</f>
        <v>14.36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15.488424000000002</v>
      </c>
      <c r="E98" s="110"/>
      <c r="F98" s="109">
        <f>F97*$B$83/100</f>
        <v>14.293944000000002</v>
      </c>
    </row>
    <row r="99" spans="1:10" ht="19.5" customHeight="1" x14ac:dyDescent="0.3">
      <c r="A99" s="482" t="s">
        <v>78</v>
      </c>
      <c r="B99" s="497"/>
      <c r="C99" s="167" t="s">
        <v>116</v>
      </c>
      <c r="D99" s="171">
        <f>D98/$B$98</f>
        <v>0.30976848000000001</v>
      </c>
      <c r="E99" s="110"/>
      <c r="F99" s="113">
        <f>F98/$B$98</f>
        <v>0.28587888000000006</v>
      </c>
      <c r="G99" s="172"/>
      <c r="H99" s="102"/>
    </row>
    <row r="100" spans="1:10" ht="19.5" customHeight="1" x14ac:dyDescent="0.3">
      <c r="A100" s="484"/>
      <c r="B100" s="498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3729616.625230886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5.5718564697541445E-3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3643613</v>
      </c>
      <c r="E108" s="202">
        <f t="shared" ref="E108:E113" si="1">IF(ISBLANK(D108),"-",D108/$D$103*$D$100*$B$116)</f>
        <v>293.0821073150733</v>
      </c>
      <c r="F108" s="229">
        <f t="shared" ref="F108:F113" si="2">IF(ISBLANK(D108), "-", (E108/$B$56)*100)</f>
        <v>97.694035771691105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3676240</v>
      </c>
      <c r="E109" s="203">
        <f t="shared" si="1"/>
        <v>295.7065325532555</v>
      </c>
      <c r="F109" s="230">
        <f t="shared" si="2"/>
        <v>98.568844184418509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3679486</v>
      </c>
      <c r="E110" s="203">
        <f t="shared" si="1"/>
        <v>295.96763177546836</v>
      </c>
      <c r="F110" s="230">
        <f t="shared" si="2"/>
        <v>98.655877258489454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3657621</v>
      </c>
      <c r="E111" s="203">
        <f t="shared" si="1"/>
        <v>294.20887191912686</v>
      </c>
      <c r="F111" s="230">
        <f t="shared" si="2"/>
        <v>98.069623973042283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3666606</v>
      </c>
      <c r="E112" s="203">
        <f t="shared" si="1"/>
        <v>294.93160035769205</v>
      </c>
      <c r="F112" s="230">
        <f t="shared" si="2"/>
        <v>98.310533452564016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3655292</v>
      </c>
      <c r="E113" s="204">
        <f t="shared" si="1"/>
        <v>294.0215336293752</v>
      </c>
      <c r="F113" s="231">
        <f t="shared" si="2"/>
        <v>98.0071778764584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294.65304625833187</v>
      </c>
      <c r="F115" s="233">
        <f>AVERAGE(F108:F113)</f>
        <v>98.217682086110628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3.7113919906167233E-3</v>
      </c>
      <c r="F116" s="187">
        <f>STDEV(F108:F113)/F115</f>
        <v>3.711391990616732E-3</v>
      </c>
      <c r="I116" s="50"/>
    </row>
    <row r="117" spans="1:10" ht="27" customHeight="1" x14ac:dyDescent="0.4">
      <c r="A117" s="482" t="s">
        <v>78</v>
      </c>
      <c r="B117" s="48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84"/>
      <c r="B118" s="485"/>
      <c r="C118" s="50"/>
      <c r="D118" s="212"/>
      <c r="E118" s="510" t="s">
        <v>123</v>
      </c>
      <c r="F118" s="511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293.0821073150733</v>
      </c>
      <c r="F119" s="234">
        <f>MIN(F108:F113)</f>
        <v>97.694035771691105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295.96763177546836</v>
      </c>
      <c r="F120" s="235">
        <f>MAX(F108:F113)</f>
        <v>98.655877258489454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86" t="str">
        <f>B26</f>
        <v>Tenofovir Disoproxil Fumarate</v>
      </c>
      <c r="D124" s="486"/>
      <c r="E124" s="150" t="s">
        <v>127</v>
      </c>
      <c r="F124" s="150"/>
      <c r="G124" s="236">
        <f>F115</f>
        <v>98.217682086110628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97.694035771691105</v>
      </c>
      <c r="E125" s="161" t="s">
        <v>130</v>
      </c>
      <c r="F125" s="236">
        <f>MAX(F108:F113)</f>
        <v>98.655877258489454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87" t="s">
        <v>26</v>
      </c>
      <c r="C127" s="487"/>
      <c r="E127" s="156" t="s">
        <v>27</v>
      </c>
      <c r="F127" s="191"/>
      <c r="G127" s="487" t="s">
        <v>28</v>
      </c>
      <c r="H127" s="48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1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0" t="s">
        <v>45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46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x14ac:dyDescent="0.3">
      <c r="A15" s="238"/>
    </row>
    <row r="16" spans="1:9" ht="19.5" customHeight="1" x14ac:dyDescent="0.3">
      <c r="A16" s="513" t="s">
        <v>31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47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240" t="s">
        <v>33</v>
      </c>
      <c r="B18" s="517" t="s">
        <v>5</v>
      </c>
      <c r="C18" s="517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512" t="s">
        <v>131</v>
      </c>
      <c r="C20" s="512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512" t="s">
        <v>11</v>
      </c>
      <c r="C21" s="512"/>
      <c r="D21" s="512"/>
      <c r="E21" s="512"/>
      <c r="F21" s="512"/>
      <c r="G21" s="512"/>
      <c r="H21" s="512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43010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512" t="s">
        <v>131</v>
      </c>
      <c r="C26" s="512"/>
    </row>
    <row r="27" spans="1:14" ht="26.25" customHeight="1" x14ac:dyDescent="0.4">
      <c r="A27" s="249" t="s">
        <v>48</v>
      </c>
      <c r="B27" s="518" t="s">
        <v>132</v>
      </c>
      <c r="C27" s="518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88" t="s">
        <v>50</v>
      </c>
      <c r="D29" s="489"/>
      <c r="E29" s="489"/>
      <c r="F29" s="489"/>
      <c r="G29" s="490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1" t="s">
        <v>53</v>
      </c>
      <c r="D31" s="492"/>
      <c r="E31" s="492"/>
      <c r="F31" s="492"/>
      <c r="G31" s="492"/>
      <c r="H31" s="493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1" t="s">
        <v>55</v>
      </c>
      <c r="D32" s="492"/>
      <c r="E32" s="492"/>
      <c r="F32" s="492"/>
      <c r="G32" s="492"/>
      <c r="H32" s="493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4" t="s">
        <v>59</v>
      </c>
      <c r="E36" s="519"/>
      <c r="F36" s="494" t="s">
        <v>60</v>
      </c>
      <c r="G36" s="495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20585360</v>
      </c>
      <c r="E38" s="273">
        <f>IF(ISBLANK(D38),"-",$D$48/$D$45*D38)</f>
        <v>20338822.957520414</v>
      </c>
      <c r="F38" s="272">
        <v>19785322</v>
      </c>
      <c r="G38" s="274">
        <f>IF(ISBLANK(F38),"-",$D$48/$F$45*F38)</f>
        <v>20790342.761865661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20801744</v>
      </c>
      <c r="E39" s="278">
        <f>IF(ISBLANK(D39),"-",$D$48/$D$45*D39)</f>
        <v>20552615.471561465</v>
      </c>
      <c r="F39" s="277">
        <v>19335148</v>
      </c>
      <c r="G39" s="279">
        <f>IF(ISBLANK(F39),"-",$D$48/$F$45*F39)</f>
        <v>20317301.597184081</v>
      </c>
      <c r="I39" s="496">
        <f>ABS((F43/D43*D42)-F42)/D42</f>
        <v>6.9424115645235112E-3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20793331</v>
      </c>
      <c r="E40" s="278">
        <f>IF(ISBLANK(D40),"-",$D$48/$D$45*D40)</f>
        <v>20544303.228416745</v>
      </c>
      <c r="F40" s="277">
        <v>19777104</v>
      </c>
      <c r="G40" s="279">
        <f>IF(ISBLANK(F40),"-",$D$48/$F$45*F40)</f>
        <v>20781707.318034269</v>
      </c>
      <c r="I40" s="496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20726811.666666668</v>
      </c>
      <c r="E42" s="288">
        <f>AVERAGE(E38:E41)</f>
        <v>20478580.552499544</v>
      </c>
      <c r="F42" s="287">
        <f>AVERAGE(F38:F41)</f>
        <v>19632524.666666668</v>
      </c>
      <c r="G42" s="289">
        <f>AVERAGE(G38:G41)</f>
        <v>20629783.892361335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12.22</v>
      </c>
      <c r="E43" s="280"/>
      <c r="F43" s="292">
        <v>11.49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12.22</v>
      </c>
      <c r="E44" s="295"/>
      <c r="F44" s="294">
        <f>F43*$B$34</f>
        <v>11.49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12.145458000000001</v>
      </c>
      <c r="E45" s="298"/>
      <c r="F45" s="297">
        <f>F44*$B$30/100</f>
        <v>11.419910999999999</v>
      </c>
      <c r="H45" s="290"/>
    </row>
    <row r="46" spans="1:14" ht="19.5" customHeight="1" x14ac:dyDescent="0.3">
      <c r="A46" s="482" t="s">
        <v>78</v>
      </c>
      <c r="B46" s="483"/>
      <c r="C46" s="293" t="s">
        <v>79</v>
      </c>
      <c r="D46" s="299">
        <f>D45/$B$45</f>
        <v>0.12145458000000002</v>
      </c>
      <c r="E46" s="300"/>
      <c r="F46" s="301">
        <f>F45/$B$45</f>
        <v>0.11419910999999999</v>
      </c>
      <c r="H46" s="290"/>
    </row>
    <row r="47" spans="1:14" ht="27" customHeight="1" x14ac:dyDescent="0.4">
      <c r="A47" s="484"/>
      <c r="B47" s="485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20554182.222430438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9.9737950603530721E-3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tablet contains Lamivudine 300mg and Tenofovir Disoproxil Fumarate 300mg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>Lamivudine</v>
      </c>
      <c r="H56" s="319"/>
    </row>
    <row r="57" spans="1:12" ht="18.75" x14ac:dyDescent="0.3">
      <c r="A57" s="316" t="s">
        <v>88</v>
      </c>
      <c r="B57" s="387">
        <f>Uniformity!C46</f>
        <v>864.79750000000001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499" t="s">
        <v>94</v>
      </c>
      <c r="D60" s="502">
        <v>864.59</v>
      </c>
      <c r="E60" s="322">
        <v>1</v>
      </c>
      <c r="F60" s="323">
        <v>19616561</v>
      </c>
      <c r="G60" s="388">
        <f>IF(ISBLANK(F60),"-",(F60/$D$50*$D$47*$B$68)*($B$57/$D$60))</f>
        <v>286.3835991041102</v>
      </c>
      <c r="H60" s="406">
        <f t="shared" ref="H60:H71" si="0">IF(ISBLANK(F60),"-",(G60/$B$56)*100)</f>
        <v>95.461199701370063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500"/>
      <c r="D61" s="503"/>
      <c r="E61" s="324">
        <v>2</v>
      </c>
      <c r="F61" s="277">
        <v>19894388</v>
      </c>
      <c r="G61" s="389">
        <f>IF(ISBLANK(F61),"-",(F61/$D$50*$D$47*$B$68)*($B$57/$D$60))</f>
        <v>290.43961566013638</v>
      </c>
      <c r="H61" s="407">
        <f t="shared" si="0"/>
        <v>96.813205220045461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0"/>
      <c r="D62" s="503"/>
      <c r="E62" s="324">
        <v>3</v>
      </c>
      <c r="F62" s="325">
        <v>19813220</v>
      </c>
      <c r="G62" s="389">
        <f>IF(ISBLANK(F62),"-",(F62/$D$50*$D$47*$B$68)*($B$57/$D$60))</f>
        <v>289.25463813160411</v>
      </c>
      <c r="H62" s="407">
        <f t="shared" si="0"/>
        <v>96.418212710534704</v>
      </c>
      <c r="L62" s="252"/>
    </row>
    <row r="63" spans="1:12" ht="27" customHeight="1" x14ac:dyDescent="0.4">
      <c r="A63" s="264" t="s">
        <v>97</v>
      </c>
      <c r="B63" s="265">
        <v>1</v>
      </c>
      <c r="C63" s="509"/>
      <c r="D63" s="504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99" t="s">
        <v>99</v>
      </c>
      <c r="D64" s="502">
        <v>869.5</v>
      </c>
      <c r="E64" s="322">
        <v>1</v>
      </c>
      <c r="F64" s="323">
        <v>19517355</v>
      </c>
      <c r="G64" s="388">
        <f>IF(ISBLANK(F64),"-",(F64/$D$50*$D$47*$B$68)*($B$57/$D$64))</f>
        <v>283.32627574930666</v>
      </c>
      <c r="H64" s="406">
        <f t="shared" si="0"/>
        <v>94.442091916435558</v>
      </c>
    </row>
    <row r="65" spans="1:8" ht="26.25" customHeight="1" x14ac:dyDescent="0.4">
      <c r="A65" s="264" t="s">
        <v>100</v>
      </c>
      <c r="B65" s="265">
        <v>1</v>
      </c>
      <c r="C65" s="500"/>
      <c r="D65" s="503"/>
      <c r="E65" s="324">
        <v>2</v>
      </c>
      <c r="F65" s="277">
        <v>19913204</v>
      </c>
      <c r="G65" s="389">
        <f>IF(ISBLANK(F65),"-",(F65/$D$50*$D$47*$B$68)*($B$57/$D$64))</f>
        <v>289.07267032629147</v>
      </c>
      <c r="H65" s="407">
        <f t="shared" si="0"/>
        <v>96.357556775430481</v>
      </c>
    </row>
    <row r="66" spans="1:8" ht="26.25" customHeight="1" x14ac:dyDescent="0.4">
      <c r="A66" s="264" t="s">
        <v>101</v>
      </c>
      <c r="B66" s="265">
        <v>1</v>
      </c>
      <c r="C66" s="500"/>
      <c r="D66" s="503"/>
      <c r="E66" s="324">
        <v>3</v>
      </c>
      <c r="F66" s="277">
        <v>20050914</v>
      </c>
      <c r="G66" s="389">
        <f>IF(ISBLANK(F66),"-",(F66/$D$50*$D$47*$B$68)*($B$57/$D$64))</f>
        <v>291.0717558290882</v>
      </c>
      <c r="H66" s="407">
        <f t="shared" si="0"/>
        <v>97.023918609696068</v>
      </c>
    </row>
    <row r="67" spans="1:8" ht="27" customHeight="1" x14ac:dyDescent="0.4">
      <c r="A67" s="264" t="s">
        <v>102</v>
      </c>
      <c r="B67" s="265">
        <v>1</v>
      </c>
      <c r="C67" s="509"/>
      <c r="D67" s="504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499" t="s">
        <v>104</v>
      </c>
      <c r="D68" s="502"/>
      <c r="E68" s="322">
        <v>1</v>
      </c>
      <c r="F68" s="323"/>
      <c r="G68" s="388" t="str">
        <f>IF(ISBLANK(F68),"-",(F68/$D$50*$D$47*$B$68)*($B$57/$D$68))</f>
        <v>-</v>
      </c>
      <c r="H68" s="407" t="str">
        <f t="shared" si="0"/>
        <v>-</v>
      </c>
    </row>
    <row r="69" spans="1:8" ht="27" customHeight="1" x14ac:dyDescent="0.4">
      <c r="A69" s="312" t="s">
        <v>105</v>
      </c>
      <c r="B69" s="329">
        <f>(D47*B68)/B56*B57</f>
        <v>864.79750000000001</v>
      </c>
      <c r="C69" s="500"/>
      <c r="D69" s="503"/>
      <c r="E69" s="324">
        <v>2</v>
      </c>
      <c r="F69" s="277"/>
      <c r="G69" s="389" t="str">
        <f>IF(ISBLANK(F69),"-",(F69/$D$50*$D$47*$B$68)*($B$57/$D$68))</f>
        <v>-</v>
      </c>
      <c r="H69" s="407" t="str">
        <f t="shared" si="0"/>
        <v>-</v>
      </c>
    </row>
    <row r="70" spans="1:8" ht="26.25" customHeight="1" x14ac:dyDescent="0.4">
      <c r="A70" s="505" t="s">
        <v>78</v>
      </c>
      <c r="B70" s="506"/>
      <c r="C70" s="500"/>
      <c r="D70" s="503"/>
      <c r="E70" s="324">
        <v>3</v>
      </c>
      <c r="F70" s="277"/>
      <c r="G70" s="389" t="str">
        <f>IF(ISBLANK(F70),"-",(F70/$D$50*$D$47*$B$68)*($B$57/$D$68))</f>
        <v>-</v>
      </c>
      <c r="H70" s="407" t="str">
        <f t="shared" si="0"/>
        <v>-</v>
      </c>
    </row>
    <row r="71" spans="1:8" ht="27" customHeight="1" x14ac:dyDescent="0.4">
      <c r="A71" s="507"/>
      <c r="B71" s="508"/>
      <c r="C71" s="501"/>
      <c r="D71" s="504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288.25809246675618</v>
      </c>
      <c r="H72" s="409">
        <f>AVERAGE(H60:H71)</f>
        <v>96.086030822252042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1.0074645274377214E-2</v>
      </c>
      <c r="H73" s="393">
        <f>STDEV(H60:H71)/H72</f>
        <v>1.0074645274377198E-2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6</v>
      </c>
      <c r="H74" s="336">
        <f>COUNT(H60:H71)</f>
        <v>6</v>
      </c>
    </row>
    <row r="76" spans="1:8" ht="26.25" customHeight="1" x14ac:dyDescent="0.4">
      <c r="A76" s="248" t="s">
        <v>106</v>
      </c>
      <c r="B76" s="337" t="s">
        <v>107</v>
      </c>
      <c r="C76" s="486" t="str">
        <f>B26</f>
        <v>Lamivudine</v>
      </c>
      <c r="D76" s="486"/>
      <c r="E76" s="338" t="s">
        <v>108</v>
      </c>
      <c r="F76" s="338"/>
      <c r="G76" s="425">
        <f>H72</f>
        <v>96.086030822252042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20" t="str">
        <f>B26</f>
        <v>Lamivudine</v>
      </c>
      <c r="C79" s="520"/>
    </row>
    <row r="80" spans="1:8" ht="26.25" customHeight="1" x14ac:dyDescent="0.4">
      <c r="A80" s="249" t="s">
        <v>48</v>
      </c>
      <c r="B80" s="520" t="str">
        <f>B27</f>
        <v>L3-10</v>
      </c>
      <c r="C80" s="520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488" t="s">
        <v>50</v>
      </c>
      <c r="D82" s="489"/>
      <c r="E82" s="489"/>
      <c r="F82" s="489"/>
      <c r="G82" s="490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1" t="s">
        <v>111</v>
      </c>
      <c r="D84" s="492"/>
      <c r="E84" s="492"/>
      <c r="F84" s="492"/>
      <c r="G84" s="492"/>
      <c r="H84" s="493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1" t="s">
        <v>112</v>
      </c>
      <c r="D85" s="492"/>
      <c r="E85" s="492"/>
      <c r="F85" s="492"/>
      <c r="G85" s="492"/>
      <c r="H85" s="493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494" t="s">
        <v>60</v>
      </c>
      <c r="G89" s="495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5445746</v>
      </c>
      <c r="E91" s="273">
        <f>IF(ISBLANK(D91),"-",$D$101/$D$98*D91)</f>
        <v>4999241.7248867732</v>
      </c>
      <c r="F91" s="272">
        <v>5097995</v>
      </c>
      <c r="G91" s="274">
        <f>IF(ISBLANK(F91),"-",$D$101/$F$98*F91)</f>
        <v>4909971.5668256646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5444370</v>
      </c>
      <c r="E92" s="278">
        <f>IF(ISBLANK(D92),"-",$D$101/$D$98*D92)</f>
        <v>4997978.5450371355</v>
      </c>
      <c r="F92" s="277">
        <v>5102193</v>
      </c>
      <c r="G92" s="279">
        <f>IF(ISBLANK(F92),"-",$D$101/$F$98*F92)</f>
        <v>4914014.7368635982</v>
      </c>
      <c r="I92" s="496">
        <f>ABS((F96/D96*D95)-F95)/D95</f>
        <v>1.6109685606304408E-2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5434068</v>
      </c>
      <c r="E93" s="278">
        <f>IF(ISBLANK(D93),"-",$D$101/$D$98*D93)</f>
        <v>4988521.2203198634</v>
      </c>
      <c r="F93" s="277">
        <v>5096443</v>
      </c>
      <c r="G93" s="279">
        <f>IF(ISBLANK(F93),"-",$D$101/$F$98*F93)</f>
        <v>4908476.807440511</v>
      </c>
      <c r="I93" s="496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5441394.666666667</v>
      </c>
      <c r="E95" s="288">
        <f>AVERAGE(E91:E94)</f>
        <v>4995247.163414591</v>
      </c>
      <c r="F95" s="351">
        <f>AVERAGE(F91:F94)</f>
        <v>5098877</v>
      </c>
      <c r="G95" s="352">
        <f>AVERAGE(G91:G94)</f>
        <v>4910821.0370432585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16.440000000000001</v>
      </c>
      <c r="E96" s="280"/>
      <c r="F96" s="292">
        <v>15.67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16.440000000000001</v>
      </c>
      <c r="E97" s="295"/>
      <c r="F97" s="294">
        <f>F96*$B$87</f>
        <v>15.67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16.339715999999999</v>
      </c>
      <c r="E98" s="298"/>
      <c r="F98" s="297">
        <f>F97*$B$83/100</f>
        <v>15.574413</v>
      </c>
    </row>
    <row r="99" spans="1:10" ht="19.5" customHeight="1" x14ac:dyDescent="0.3">
      <c r="A99" s="482" t="s">
        <v>78</v>
      </c>
      <c r="B99" s="497"/>
      <c r="C99" s="355" t="s">
        <v>116</v>
      </c>
      <c r="D99" s="359">
        <f>D98/$B$98</f>
        <v>0.32679431999999997</v>
      </c>
      <c r="E99" s="298"/>
      <c r="F99" s="301">
        <f>F98/$B$98</f>
        <v>0.31148826000000002</v>
      </c>
      <c r="G99" s="360"/>
      <c r="H99" s="290"/>
    </row>
    <row r="100" spans="1:10" ht="19.5" customHeight="1" x14ac:dyDescent="0.3">
      <c r="A100" s="484"/>
      <c r="B100" s="498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4953034.1002289243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9.3731840591991817E-3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4873052</v>
      </c>
      <c r="E108" s="390">
        <f t="shared" ref="E108:E113" si="1">IF(ISBLANK(D108),"-",D108/$D$103*$D$100*$B$116)</f>
        <v>295.15556937765314</v>
      </c>
      <c r="F108" s="417">
        <f t="shared" ref="F108:F113" si="2">IF(ISBLANK(D108), "-", (E108/$B$56)*100)</f>
        <v>98.385189792551046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4850546</v>
      </c>
      <c r="E109" s="391">
        <f t="shared" si="1"/>
        <v>293.79240492867672</v>
      </c>
      <c r="F109" s="418">
        <f t="shared" si="2"/>
        <v>97.930801642892234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4860482</v>
      </c>
      <c r="E110" s="391">
        <f t="shared" si="1"/>
        <v>294.39421786589475</v>
      </c>
      <c r="F110" s="418">
        <f t="shared" si="2"/>
        <v>98.131405955298249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4862333</v>
      </c>
      <c r="E111" s="391">
        <f t="shared" si="1"/>
        <v>294.50633096440424</v>
      </c>
      <c r="F111" s="418">
        <f t="shared" si="2"/>
        <v>98.168776988134738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4853623</v>
      </c>
      <c r="E112" s="391">
        <f t="shared" si="1"/>
        <v>293.97877554137995</v>
      </c>
      <c r="F112" s="418">
        <f t="shared" si="2"/>
        <v>97.992925180459977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4889977</v>
      </c>
      <c r="E113" s="392">
        <f t="shared" si="1"/>
        <v>296.18069860092362</v>
      </c>
      <c r="F113" s="419">
        <f t="shared" si="2"/>
        <v>98.726899533641216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294.66799954648872</v>
      </c>
      <c r="F115" s="421">
        <f>AVERAGE(F108:F113)</f>
        <v>98.222666515496243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2.9851665538721309E-3</v>
      </c>
      <c r="F116" s="375">
        <f>STDEV(F108:F113)/F115</f>
        <v>2.9851665538721847E-3</v>
      </c>
      <c r="I116" s="238"/>
    </row>
    <row r="117" spans="1:10" ht="27" customHeight="1" x14ac:dyDescent="0.4">
      <c r="A117" s="482" t="s">
        <v>78</v>
      </c>
      <c r="B117" s="483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484"/>
      <c r="B118" s="485"/>
      <c r="C118" s="238"/>
      <c r="D118" s="400"/>
      <c r="E118" s="510" t="s">
        <v>123</v>
      </c>
      <c r="F118" s="51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293.79240492867672</v>
      </c>
      <c r="F119" s="422">
        <f>MIN(F108:F113)</f>
        <v>97.930801642892234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296.18069860092362</v>
      </c>
      <c r="F120" s="423">
        <f>MAX(F108:F113)</f>
        <v>98.726899533641216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86" t="str">
        <f>B26</f>
        <v>Lamivudine</v>
      </c>
      <c r="D124" s="486"/>
      <c r="E124" s="338" t="s">
        <v>127</v>
      </c>
      <c r="F124" s="338"/>
      <c r="G124" s="424">
        <f>F115</f>
        <v>98.222666515496243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97.930801642892234</v>
      </c>
      <c r="E125" s="349" t="s">
        <v>130</v>
      </c>
      <c r="F125" s="424">
        <f>MAX(F108:F113)</f>
        <v>98.726899533641216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87" t="s">
        <v>26</v>
      </c>
      <c r="C127" s="487"/>
      <c r="E127" s="344" t="s">
        <v>27</v>
      </c>
      <c r="F127" s="379"/>
      <c r="G127" s="487" t="s">
        <v>28</v>
      </c>
      <c r="H127" s="48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TDF</vt:lpstr>
      <vt:lpstr>Uniformity</vt:lpstr>
      <vt:lpstr>Tenofovir Disoproxil Fumarate</vt:lpstr>
      <vt:lpstr>Lamivudine</vt:lpstr>
      <vt:lpstr>Lamivudine!Print_Area</vt:lpstr>
      <vt:lpstr>'SST Lamivudine'!Print_Area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2017-10-02T08:51:40Z</cp:lastPrinted>
  <dcterms:created xsi:type="dcterms:W3CDTF">2005-07-05T10:19:27Z</dcterms:created>
  <dcterms:modified xsi:type="dcterms:W3CDTF">2017-10-02T09:39:08Z</dcterms:modified>
</cp:coreProperties>
</file>