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1"/>
  </bookViews>
  <sheets>
    <sheet name="SST Lamivudine" sheetId="5" r:id="rId1"/>
    <sheet name="SST Zidovudine" sheetId="6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Uniformity!$A$12:$H$54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B53" i="6" l="1"/>
  <c r="B52" i="6"/>
  <c r="F51" i="6"/>
  <c r="E51" i="6"/>
  <c r="D51" i="6"/>
  <c r="C51" i="6"/>
  <c r="B51" i="6"/>
  <c r="B42" i="6"/>
  <c r="B32" i="6"/>
  <c r="B31" i="6"/>
  <c r="F30" i="6"/>
  <c r="E30" i="6"/>
  <c r="D30" i="6"/>
  <c r="C30" i="6"/>
  <c r="B30" i="6"/>
  <c r="B21" i="6"/>
  <c r="B53" i="5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D44" i="4" s="1"/>
  <c r="D45" i="4" s="1"/>
  <c r="B30" i="4"/>
  <c r="C124" i="3"/>
  <c r="B116" i="3"/>
  <c r="D100" i="3" s="1"/>
  <c r="D101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B57" i="4" s="1"/>
  <c r="C45" i="2"/>
  <c r="D25" i="2"/>
  <c r="C19" i="2"/>
  <c r="D101" i="4" l="1"/>
  <c r="I92" i="4"/>
  <c r="I92" i="3"/>
  <c r="D97" i="3"/>
  <c r="I39" i="3"/>
  <c r="D49" i="3"/>
  <c r="F44" i="3"/>
  <c r="F45" i="3" s="1"/>
  <c r="G41" i="3" s="1"/>
  <c r="D102" i="3"/>
  <c r="D45" i="3"/>
  <c r="E38" i="3" s="1"/>
  <c r="F44" i="4"/>
  <c r="F45" i="4" s="1"/>
  <c r="G39" i="4" s="1"/>
  <c r="D98" i="3"/>
  <c r="E94" i="3" s="1"/>
  <c r="B69" i="4"/>
  <c r="D102" i="4"/>
  <c r="F98" i="3"/>
  <c r="G92" i="3" s="1"/>
  <c r="E41" i="4"/>
  <c r="F98" i="4"/>
  <c r="F99" i="4" s="1"/>
  <c r="D46" i="4"/>
  <c r="E38" i="4"/>
  <c r="E39" i="4"/>
  <c r="G41" i="4"/>
  <c r="D29" i="2"/>
  <c r="D37" i="2"/>
  <c r="D41" i="2"/>
  <c r="D27" i="2"/>
  <c r="D31" i="2"/>
  <c r="D35" i="2"/>
  <c r="D39" i="2"/>
  <c r="D43" i="2"/>
  <c r="C49" i="2"/>
  <c r="D97" i="4"/>
  <c r="D98" i="4" s="1"/>
  <c r="D99" i="4" s="1"/>
  <c r="D33" i="2"/>
  <c r="D24" i="2"/>
  <c r="D28" i="2"/>
  <c r="D32" i="2"/>
  <c r="D36" i="2"/>
  <c r="D40" i="2"/>
  <c r="D49" i="2"/>
  <c r="B57" i="3"/>
  <c r="B69" i="3" s="1"/>
  <c r="G94" i="3"/>
  <c r="E40" i="4"/>
  <c r="D49" i="4"/>
  <c r="C50" i="2"/>
  <c r="D26" i="2"/>
  <c r="D30" i="2"/>
  <c r="D34" i="2"/>
  <c r="D38" i="2"/>
  <c r="D42" i="2"/>
  <c r="B49" i="2"/>
  <c r="D50" i="2"/>
  <c r="G93" i="3"/>
  <c r="E40" i="3" l="1"/>
  <c r="G38" i="3"/>
  <c r="E39" i="3"/>
  <c r="D46" i="3"/>
  <c r="E41" i="3"/>
  <c r="E42" i="3" s="1"/>
  <c r="F46" i="3"/>
  <c r="G39" i="3"/>
  <c r="G40" i="3"/>
  <c r="E91" i="3"/>
  <c r="G38" i="4"/>
  <c r="G40" i="4"/>
  <c r="F46" i="4"/>
  <c r="E93" i="4"/>
  <c r="E94" i="4"/>
  <c r="G94" i="4"/>
  <c r="E92" i="4"/>
  <c r="G91" i="4"/>
  <c r="G93" i="4"/>
  <c r="D99" i="3"/>
  <c r="E93" i="3"/>
  <c r="E92" i="3"/>
  <c r="E42" i="4"/>
  <c r="G91" i="3"/>
  <c r="G95" i="3" s="1"/>
  <c r="F99" i="3"/>
  <c r="G92" i="4"/>
  <c r="E91" i="4"/>
  <c r="D103" i="3" l="1"/>
  <c r="E112" i="3" s="1"/>
  <c r="F112" i="3" s="1"/>
  <c r="G42" i="3"/>
  <c r="D50" i="3"/>
  <c r="D51" i="3" s="1"/>
  <c r="D52" i="3"/>
  <c r="E95" i="3"/>
  <c r="D105" i="3"/>
  <c r="G42" i="4"/>
  <c r="D50" i="4"/>
  <c r="G70" i="4" s="1"/>
  <c r="H70" i="4" s="1"/>
  <c r="D52" i="4"/>
  <c r="G95" i="4"/>
  <c r="E95" i="4"/>
  <c r="D103" i="4"/>
  <c r="D105" i="4"/>
  <c r="G68" i="3"/>
  <c r="H68" i="3" s="1"/>
  <c r="G69" i="3"/>
  <c r="H69" i="3" s="1"/>
  <c r="G64" i="3"/>
  <c r="H64" i="3" s="1"/>
  <c r="G60" i="3"/>
  <c r="G71" i="3"/>
  <c r="H71" i="3" s="1"/>
  <c r="G66" i="3"/>
  <c r="H66" i="3" s="1"/>
  <c r="G62" i="3"/>
  <c r="H62" i="3" s="1"/>
  <c r="G70" i="3"/>
  <c r="H70" i="3" s="1"/>
  <c r="G67" i="3"/>
  <c r="H67" i="3" s="1"/>
  <c r="G65" i="3"/>
  <c r="H65" i="3" s="1"/>
  <c r="G63" i="3"/>
  <c r="H63" i="3" s="1"/>
  <c r="G61" i="3"/>
  <c r="H61" i="3" s="1"/>
  <c r="E113" i="3" l="1"/>
  <c r="F113" i="3" s="1"/>
  <c r="E108" i="3"/>
  <c r="F108" i="3" s="1"/>
  <c r="D104" i="3"/>
  <c r="E110" i="3"/>
  <c r="F110" i="3" s="1"/>
  <c r="E109" i="3"/>
  <c r="F109" i="3" s="1"/>
  <c r="E111" i="3"/>
  <c r="F111" i="3" s="1"/>
  <c r="G69" i="4"/>
  <c r="H69" i="4" s="1"/>
  <c r="G68" i="4"/>
  <c r="H68" i="4" s="1"/>
  <c r="G60" i="4"/>
  <c r="G62" i="4"/>
  <c r="H62" i="4" s="1"/>
  <c r="G71" i="4"/>
  <c r="H71" i="4" s="1"/>
  <c r="G63" i="4"/>
  <c r="H63" i="4" s="1"/>
  <c r="G61" i="4"/>
  <c r="H61" i="4" s="1"/>
  <c r="G64" i="4"/>
  <c r="H64" i="4" s="1"/>
  <c r="G65" i="4"/>
  <c r="H65" i="4" s="1"/>
  <c r="D51" i="4"/>
  <c r="G67" i="4"/>
  <c r="H67" i="4" s="1"/>
  <c r="G66" i="4"/>
  <c r="H66" i="4" s="1"/>
  <c r="H60" i="3"/>
  <c r="G74" i="3"/>
  <c r="G72" i="3"/>
  <c r="G73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7" i="3" l="1"/>
  <c r="E120" i="3"/>
  <c r="E115" i="3"/>
  <c r="E116" i="3" s="1"/>
  <c r="E119" i="3"/>
  <c r="G72" i="4"/>
  <c r="G73" i="4" s="1"/>
  <c r="H60" i="4"/>
  <c r="H74" i="4" s="1"/>
  <c r="G74" i="4"/>
  <c r="F108" i="4"/>
  <c r="E115" i="4"/>
  <c r="E116" i="4" s="1"/>
  <c r="E120" i="4"/>
  <c r="E119" i="4"/>
  <c r="E117" i="4"/>
  <c r="H74" i="3"/>
  <c r="H72" i="3"/>
  <c r="F119" i="3"/>
  <c r="F125" i="3"/>
  <c r="F120" i="3"/>
  <c r="F117" i="3"/>
  <c r="D125" i="3"/>
  <c r="F115" i="3"/>
  <c r="H72" i="4" l="1"/>
  <c r="G76" i="4" s="1"/>
  <c r="G124" i="3"/>
  <c r="F116" i="3"/>
  <c r="G76" i="3"/>
  <c r="H73" i="3"/>
  <c r="F125" i="4"/>
  <c r="F120" i="4"/>
  <c r="F117" i="4"/>
  <c r="D125" i="4"/>
  <c r="F115" i="4"/>
  <c r="F119" i="4"/>
  <c r="H73" i="4" l="1"/>
  <c r="G124" i="4"/>
  <c r="F116" i="4"/>
</calcChain>
</file>

<file path=xl/sharedStrings.xml><?xml version="1.0" encoding="utf-8"?>
<sst xmlns="http://schemas.openxmlformats.org/spreadsheetml/2006/main" count="460" uniqueCount="144">
  <si>
    <t>HPLC System Suitability Report</t>
  </si>
  <si>
    <t>Analysis Data</t>
  </si>
  <si>
    <t>Assay</t>
  </si>
  <si>
    <t>Sample(s)</t>
  </si>
  <si>
    <t>Reference Substance:</t>
  </si>
  <si>
    <t>LAMIVUDINE &amp; ZIDOVUDINE TABLETS 150</t>
  </si>
  <si>
    <t>% age Purity:</t>
  </si>
  <si>
    <t>NDQB201707081</t>
  </si>
  <si>
    <t>Weight (mg):</t>
  </si>
  <si>
    <t xml:space="preserve">Lamivudine/Zidovudine </t>
  </si>
  <si>
    <t>Standard Conc (mg/mL):</t>
  </si>
  <si>
    <t>Eacg film coated tablet contains Lamivudine USP 150 &amp; Zidovudine USP 300 mg</t>
  </si>
  <si>
    <t>2017-07-20 14:02:16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</si>
  <si>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</si>
  <si>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</si>
  <si>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</si>
  <si>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</si>
  <si>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</si>
  <si>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</si>
  <si>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</si>
  <si>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</si>
  <si>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</si>
  <si>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</si>
  <si>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</si>
  <si>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</si>
  <si>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</si>
  <si>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</si>
  <si>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</si>
  <si>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</si>
  <si>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</si>
  <si>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</si>
  <si>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</si>
  <si>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</si>
  <si>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</si>
  <si>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</si>
  <si>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</si>
  <si>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</si>
  <si>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</si>
  <si>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</si>
  <si>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</si>
  <si>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</si>
  <si>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</si>
  <si>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</si>
  <si>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</si>
  <si>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</si>
  <si>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</si>
  <si>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</si>
  <si>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</si>
  <si>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</si>
  <si>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</si>
  <si>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</si>
  <si>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</si>
  <si>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</si>
  <si>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</si>
  <si>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</si>
  <si>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</si>
  <si>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</si>
  <si>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</si>
  <si>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</si>
  <si>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</si>
  <si>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</si>
  <si>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</si>
  <si>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</si>
  <si>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</si>
  <si>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</si>
  <si>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</si>
  <si>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</si>
  <si>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</si>
  <si>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</si>
  <si>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</si>
  <si>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</si>
  <si>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</si>
  <si>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</si>
  <si>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</si>
  <si>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</si>
  <si>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</si>
  <si>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</si>
  <si>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</si>
  <si>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</si>
  <si>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</si>
  <si>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</si>
  <si>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</si>
  <si>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</si>
  <si>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</si>
  <si>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</si>
  <si>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</si>
  <si>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</si>
  <si>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</si>
  <si>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</si>
  <si>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</si>
  <si>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</si>
  <si>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</si>
  <si>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</si>
  <si>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</si>
  <si>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</si>
  <si>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</si>
  <si>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</si>
  <si>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</si>
  <si>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</si>
  <si>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</si>
  <si>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</si>
  <si>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</si>
  <si>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</si>
  <si>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</si>
  <si>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</si>
  <si>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</si>
  <si>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</si>
  <si>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</si>
  <si>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</si>
  <si>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</si>
  <si>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</si>
  <si>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</si>
  <si>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</si>
  <si>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</si>
  <si>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</si>
  <si>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</si>
  <si>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</si>
  <si>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</si>
  <si>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</si>
  <si>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</si>
  <si>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</si>
  <si>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</si>
  <si>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</si>
  <si>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</si>
  <si>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</si>
  <si>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</si>
  <si>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</si>
  <si>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</si>
  <si>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</si>
  <si>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</si>
  <si>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</si>
  <si>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Zidovudine </t>
  </si>
  <si>
    <t>Z1-3</t>
  </si>
  <si>
    <t xml:space="preserve">Lamivudine </t>
  </si>
  <si>
    <t>L3-10</t>
  </si>
  <si>
    <t>LAMIVUDINE/ZIDOVUDINE DISPERSIBLE TABLETS 30 MG/60 MG</t>
  </si>
  <si>
    <t xml:space="preserve">LAMIVUDINE  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</si>
  <si>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3.0</t>
    </r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</si>
  <si>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</si>
  <si>
    <t>RUTTO KENNEDY</t>
  </si>
  <si>
    <t>21/08/2017</t>
  </si>
  <si>
    <t xml:space="preserve"> ZIDOVUDINE </t>
  </si>
  <si>
    <t>Resolution(USP)</t>
  </si>
  <si>
    <t>Resolution between peak pair of Lamivudine and Zidovudine is NLT 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</si>
</sst>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0" fontId="2" fillId="2" borderId="0" xfId="1" applyNumberFormat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E51" sqref="E5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2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1" t="s">
        <v>136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14.12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14.12/20*4/20</f>
        <v>0.14119999999999999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35694733</v>
      </c>
      <c r="C24" s="490">
        <v>6558.2</v>
      </c>
      <c r="D24" s="491">
        <v>1.1000000000000001</v>
      </c>
      <c r="E24" s="492">
        <v>3.6</v>
      </c>
    </row>
    <row r="25" spans="1:5" ht="16.5" customHeight="1" x14ac:dyDescent="0.3">
      <c r="A25" s="489">
        <v>2</v>
      </c>
      <c r="B25" s="490">
        <v>35849272</v>
      </c>
      <c r="C25" s="490">
        <v>6564</v>
      </c>
      <c r="D25" s="491">
        <v>1.1000000000000001</v>
      </c>
      <c r="E25" s="491">
        <v>3.6</v>
      </c>
    </row>
    <row r="26" spans="1:5" ht="16.5" customHeight="1" x14ac:dyDescent="0.3">
      <c r="A26" s="489">
        <v>3</v>
      </c>
      <c r="B26" s="490">
        <v>35754264</v>
      </c>
      <c r="C26" s="490">
        <v>6545.8</v>
      </c>
      <c r="D26" s="491">
        <v>1.1000000000000001</v>
      </c>
      <c r="E26" s="491">
        <v>3.6</v>
      </c>
    </row>
    <row r="27" spans="1:5" ht="16.5" customHeight="1" x14ac:dyDescent="0.3">
      <c r="A27" s="489">
        <v>4</v>
      </c>
      <c r="B27" s="490">
        <v>35583708</v>
      </c>
      <c r="C27" s="490">
        <v>6554.4</v>
      </c>
      <c r="D27" s="491">
        <v>1.1000000000000001</v>
      </c>
      <c r="E27" s="491">
        <v>3.6</v>
      </c>
    </row>
    <row r="28" spans="1:5" ht="16.5" customHeight="1" x14ac:dyDescent="0.3">
      <c r="A28" s="489">
        <v>5</v>
      </c>
      <c r="B28" s="490">
        <v>35747739</v>
      </c>
      <c r="C28" s="490">
        <v>6551.2</v>
      </c>
      <c r="D28" s="491">
        <v>1.1000000000000001</v>
      </c>
      <c r="E28" s="491">
        <v>3.6</v>
      </c>
    </row>
    <row r="29" spans="1:5" ht="16.5" customHeight="1" x14ac:dyDescent="0.3">
      <c r="A29" s="489">
        <v>6</v>
      </c>
      <c r="B29" s="493">
        <v>35657854</v>
      </c>
      <c r="C29" s="493">
        <v>6544</v>
      </c>
      <c r="D29" s="494">
        <v>1.1000000000000001</v>
      </c>
      <c r="E29" s="494">
        <v>3.6</v>
      </c>
    </row>
    <row r="30" spans="1:5" ht="16.5" customHeight="1" x14ac:dyDescent="0.3">
      <c r="A30" s="495" t="s">
        <v>18</v>
      </c>
      <c r="B30" s="496">
        <f>AVERAGE(B24:B29)</f>
        <v>35714595</v>
      </c>
      <c r="C30" s="497">
        <f>AVERAGE(C24:C29)</f>
        <v>6552.9333333333334</v>
      </c>
      <c r="D30" s="498">
        <f>AVERAGE(D24:D29)</f>
        <v>1.0999999999999999</v>
      </c>
      <c r="E30" s="498">
        <f>AVERAGE(E24:E29)</f>
        <v>3.6</v>
      </c>
    </row>
    <row r="31" spans="1:5" ht="16.5" customHeight="1" x14ac:dyDescent="0.3">
      <c r="A31" s="499" t="s">
        <v>19</v>
      </c>
      <c r="B31" s="500">
        <f>(STDEV(B24:B29)/B30)</f>
        <v>2.5526043257004354E-3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137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 t="s">
        <v>136</v>
      </c>
      <c r="C39" s="483"/>
      <c r="D39" s="483"/>
      <c r="E39" s="483"/>
    </row>
    <row r="40" spans="1:5" ht="16.5" customHeight="1" x14ac:dyDescent="0.3">
      <c r="A40" s="484" t="s">
        <v>6</v>
      </c>
      <c r="B40" s="485">
        <v>99.3</v>
      </c>
      <c r="C40" s="483"/>
      <c r="D40" s="483"/>
      <c r="E40" s="483"/>
    </row>
    <row r="41" spans="1:5" ht="16.5" customHeight="1" x14ac:dyDescent="0.3">
      <c r="A41" s="481" t="s">
        <v>8</v>
      </c>
      <c r="B41" s="485">
        <v>14.12</v>
      </c>
      <c r="C41" s="483"/>
      <c r="D41" s="483"/>
      <c r="E41" s="483"/>
    </row>
    <row r="42" spans="1:5" ht="16.5" customHeight="1" x14ac:dyDescent="0.3">
      <c r="A42" s="481" t="s">
        <v>10</v>
      </c>
      <c r="B42" s="486">
        <f>14.12/20*4/20</f>
        <v>0.14119999999999999</v>
      </c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>
        <v>37360519</v>
      </c>
      <c r="C45" s="490">
        <v>7101.2</v>
      </c>
      <c r="D45" s="491">
        <v>1.1000000000000001</v>
      </c>
      <c r="E45" s="492">
        <v>3.9</v>
      </c>
    </row>
    <row r="46" spans="1:5" ht="16.5" customHeight="1" x14ac:dyDescent="0.3">
      <c r="A46" s="489">
        <v>2</v>
      </c>
      <c r="B46" s="490">
        <v>38449081</v>
      </c>
      <c r="C46" s="490">
        <v>7050.5</v>
      </c>
      <c r="D46" s="491">
        <v>1.1000000000000001</v>
      </c>
      <c r="E46" s="491">
        <v>3.9</v>
      </c>
    </row>
    <row r="47" spans="1:5" ht="16.5" customHeight="1" x14ac:dyDescent="0.3">
      <c r="A47" s="489">
        <v>3</v>
      </c>
      <c r="B47" s="490">
        <v>36979983</v>
      </c>
      <c r="C47" s="490">
        <v>7080.1</v>
      </c>
      <c r="D47" s="491">
        <v>1.1000000000000001</v>
      </c>
      <c r="E47" s="491">
        <v>3.9</v>
      </c>
    </row>
    <row r="48" spans="1:5" ht="16.5" customHeight="1" x14ac:dyDescent="0.3">
      <c r="A48" s="489">
        <v>4</v>
      </c>
      <c r="B48" s="490">
        <v>37129976</v>
      </c>
      <c r="C48" s="490">
        <v>7073.4</v>
      </c>
      <c r="D48" s="491">
        <v>1.1000000000000001</v>
      </c>
      <c r="E48" s="491">
        <v>3.9</v>
      </c>
    </row>
    <row r="49" spans="1:7" ht="16.5" customHeight="1" x14ac:dyDescent="0.3">
      <c r="A49" s="489">
        <v>5</v>
      </c>
      <c r="B49" s="490">
        <v>37569705</v>
      </c>
      <c r="C49" s="490">
        <v>7016.4</v>
      </c>
      <c r="D49" s="491">
        <v>1.1000000000000001</v>
      </c>
      <c r="E49" s="491">
        <v>3.9</v>
      </c>
    </row>
    <row r="50" spans="1:7" ht="16.5" customHeight="1" x14ac:dyDescent="0.3">
      <c r="A50" s="489">
        <v>6</v>
      </c>
      <c r="B50" s="493">
        <v>37377300</v>
      </c>
      <c r="C50" s="493">
        <v>7057.4</v>
      </c>
      <c r="D50" s="494">
        <v>1.1000000000000001</v>
      </c>
      <c r="E50" s="494">
        <v>3.9</v>
      </c>
    </row>
    <row r="51" spans="1:7" ht="16.5" customHeight="1" x14ac:dyDescent="0.3">
      <c r="A51" s="495" t="s">
        <v>18</v>
      </c>
      <c r="B51" s="496">
        <f>AVERAGE(B45:B50)</f>
        <v>37477760.666666664</v>
      </c>
      <c r="C51" s="497">
        <f>AVERAGE(C45:C50)</f>
        <v>7063.1666666666679</v>
      </c>
      <c r="D51" s="498">
        <f>AVERAGE(D45:D50)</f>
        <v>1.0999999999999999</v>
      </c>
      <c r="E51" s="498">
        <f>AVERAGE(E45:E50)</f>
        <v>3.9</v>
      </c>
    </row>
    <row r="52" spans="1:7" ht="16.5" customHeight="1" x14ac:dyDescent="0.3">
      <c r="A52" s="499" t="s">
        <v>19</v>
      </c>
      <c r="B52" s="500">
        <f>(STDEV(B45:B50)/B51)</f>
        <v>1.3836314486558763E-2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138</v>
      </c>
      <c r="D58" s="511"/>
      <c r="F58" s="512"/>
      <c r="G58" s="512"/>
    </row>
    <row r="59" spans="1:7" ht="15" customHeight="1" x14ac:dyDescent="0.3">
      <c r="B59" s="513" t="s">
        <v>26</v>
      </c>
      <c r="C59" s="513"/>
      <c r="E59" s="514" t="s">
        <v>27</v>
      </c>
      <c r="F59" s="515"/>
      <c r="G59" s="514" t="s">
        <v>28</v>
      </c>
    </row>
    <row r="60" spans="1:7" ht="15" customHeight="1" x14ac:dyDescent="0.3">
      <c r="A60" s="516" t="s">
        <v>29</v>
      </c>
      <c r="B60" s="517" t="s">
        <v>139</v>
      </c>
      <c r="C60" s="517"/>
      <c r="E60" s="517" t="s">
        <v>140</v>
      </c>
      <c r="G60" s="517"/>
    </row>
    <row r="61" spans="1:7" ht="15" customHeight="1" x14ac:dyDescent="0.3">
      <c r="A61" s="516" t="s">
        <v>30</v>
      </c>
      <c r="B61" s="518"/>
      <c r="C61" s="518"/>
      <c r="E61" s="518"/>
      <c r="G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abSelected="1" topLeftCell="A10" workbookViewId="0">
      <selection activeCell="C32" sqref="C32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2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135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141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99.65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28.3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28.3/20*4/20</f>
        <v>0.28300000000000003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142</v>
      </c>
      <c r="F23" s="487" t="s">
        <v>17</v>
      </c>
    </row>
    <row r="24" spans="1:6" ht="16.5" customHeight="1" x14ac:dyDescent="0.3">
      <c r="A24" s="489">
        <v>1</v>
      </c>
      <c r="B24" s="490">
        <v>63567126</v>
      </c>
      <c r="C24" s="490">
        <v>7747.7</v>
      </c>
      <c r="D24" s="491">
        <v>1.1000000000000001</v>
      </c>
      <c r="E24" s="491">
        <v>5.4</v>
      </c>
      <c r="F24" s="492">
        <v>4.7</v>
      </c>
    </row>
    <row r="25" spans="1:6" ht="16.5" customHeight="1" x14ac:dyDescent="0.3">
      <c r="A25" s="489">
        <v>2</v>
      </c>
      <c r="B25" s="490">
        <v>63840187</v>
      </c>
      <c r="C25" s="490">
        <v>7735</v>
      </c>
      <c r="D25" s="491">
        <v>1.1000000000000001</v>
      </c>
      <c r="E25" s="491">
        <v>5.4</v>
      </c>
      <c r="F25" s="491">
        <v>4.7</v>
      </c>
    </row>
    <row r="26" spans="1:6" ht="16.5" customHeight="1" x14ac:dyDescent="0.3">
      <c r="A26" s="489">
        <v>3</v>
      </c>
      <c r="B26" s="490">
        <v>63676430</v>
      </c>
      <c r="C26" s="490">
        <v>7719.5</v>
      </c>
      <c r="D26" s="491">
        <v>1.1000000000000001</v>
      </c>
      <c r="E26" s="491">
        <v>5.4</v>
      </c>
      <c r="F26" s="491">
        <v>4.7</v>
      </c>
    </row>
    <row r="27" spans="1:6" ht="16.5" customHeight="1" x14ac:dyDescent="0.3">
      <c r="A27" s="489">
        <v>4</v>
      </c>
      <c r="B27" s="490">
        <v>63355953</v>
      </c>
      <c r="C27" s="490">
        <v>7706.9</v>
      </c>
      <c r="D27" s="491">
        <v>1.1000000000000001</v>
      </c>
      <c r="E27" s="491">
        <v>5.4</v>
      </c>
      <c r="F27" s="491">
        <v>4.7</v>
      </c>
    </row>
    <row r="28" spans="1:6" ht="16.5" customHeight="1" x14ac:dyDescent="0.3">
      <c r="A28" s="489">
        <v>5</v>
      </c>
      <c r="B28" s="490">
        <v>63656313</v>
      </c>
      <c r="C28" s="490">
        <v>7731.5</v>
      </c>
      <c r="D28" s="491">
        <v>1.1000000000000001</v>
      </c>
      <c r="E28" s="491">
        <v>5.4</v>
      </c>
      <c r="F28" s="491">
        <v>4.7</v>
      </c>
    </row>
    <row r="29" spans="1:6" ht="16.5" customHeight="1" x14ac:dyDescent="0.3">
      <c r="A29" s="489">
        <v>6</v>
      </c>
      <c r="B29" s="493">
        <v>63514299</v>
      </c>
      <c r="C29" s="493">
        <v>7715</v>
      </c>
      <c r="D29" s="494">
        <v>1.1000000000000001</v>
      </c>
      <c r="E29" s="494">
        <v>5.4</v>
      </c>
      <c r="F29" s="494">
        <v>4.7</v>
      </c>
    </row>
    <row r="30" spans="1:6" ht="16.5" customHeight="1" x14ac:dyDescent="0.3">
      <c r="A30" s="495" t="s">
        <v>18</v>
      </c>
      <c r="B30" s="496">
        <f>AVERAGE(B24:B29)</f>
        <v>63601718</v>
      </c>
      <c r="C30" s="497">
        <f>AVERAGE(C24:C29)</f>
        <v>7725.9333333333334</v>
      </c>
      <c r="D30" s="498">
        <f>AVERAGE(D24:D29)</f>
        <v>1.0999999999999999</v>
      </c>
      <c r="E30" s="498">
        <f>AVERAGE(E24:E29)</f>
        <v>5.3999999999999995</v>
      </c>
      <c r="F30" s="498">
        <f>AVERAGE(F24:F29)</f>
        <v>4.7</v>
      </c>
    </row>
    <row r="31" spans="1:6" ht="16.5" customHeight="1" x14ac:dyDescent="0.3">
      <c r="A31" s="499" t="s">
        <v>19</v>
      </c>
      <c r="B31" s="500">
        <f>(STDEV(B24:B29)/B30)</f>
        <v>2.580358831388233E-3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25">
      <c r="A37" s="483"/>
      <c r="B37" s="483" t="s">
        <v>143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 t="s">
        <v>141</v>
      </c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>
        <v>99.65</v>
      </c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>
        <v>28.3</v>
      </c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>
        <f>28.3/20*4/20</f>
        <v>0.28300000000000003</v>
      </c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142</v>
      </c>
      <c r="F44" s="487" t="s">
        <v>17</v>
      </c>
    </row>
    <row r="45" spans="1:6" ht="16.5" customHeight="1" x14ac:dyDescent="0.3">
      <c r="A45" s="489">
        <v>1</v>
      </c>
      <c r="B45" s="490">
        <v>65672908</v>
      </c>
      <c r="C45" s="490">
        <v>8437.5</v>
      </c>
      <c r="D45" s="491">
        <v>1</v>
      </c>
      <c r="E45" s="491">
        <v>9.1</v>
      </c>
      <c r="F45" s="492">
        <v>5.9</v>
      </c>
    </row>
    <row r="46" spans="1:6" ht="16.5" customHeight="1" x14ac:dyDescent="0.3">
      <c r="A46" s="489">
        <v>2</v>
      </c>
      <c r="B46" s="490">
        <v>67129660</v>
      </c>
      <c r="C46" s="490">
        <v>8447.9</v>
      </c>
      <c r="D46" s="491">
        <v>1</v>
      </c>
      <c r="E46" s="491">
        <v>9.1</v>
      </c>
      <c r="F46" s="491">
        <v>5.9</v>
      </c>
    </row>
    <row r="47" spans="1:6" ht="16.5" customHeight="1" x14ac:dyDescent="0.3">
      <c r="A47" s="489">
        <v>3</v>
      </c>
      <c r="B47" s="490">
        <v>65111544</v>
      </c>
      <c r="C47" s="490">
        <v>8454.6</v>
      </c>
      <c r="D47" s="491">
        <v>1.1000000000000001</v>
      </c>
      <c r="E47" s="491">
        <v>9.1</v>
      </c>
      <c r="F47" s="491">
        <v>5.9</v>
      </c>
    </row>
    <row r="48" spans="1:6" ht="16.5" customHeight="1" x14ac:dyDescent="0.3">
      <c r="A48" s="489">
        <v>4</v>
      </c>
      <c r="B48" s="490">
        <v>65353461</v>
      </c>
      <c r="C48" s="490">
        <v>8442.5</v>
      </c>
      <c r="D48" s="491">
        <v>1.1000000000000001</v>
      </c>
      <c r="E48" s="491">
        <v>9.1</v>
      </c>
      <c r="F48" s="491">
        <v>5.9</v>
      </c>
    </row>
    <row r="49" spans="1:8" ht="16.5" customHeight="1" x14ac:dyDescent="0.3">
      <c r="A49" s="489">
        <v>5</v>
      </c>
      <c r="B49" s="490">
        <v>66257107</v>
      </c>
      <c r="C49" s="490">
        <v>8375.9</v>
      </c>
      <c r="D49" s="491">
        <v>1.1000000000000001</v>
      </c>
      <c r="E49" s="491">
        <v>9.1</v>
      </c>
      <c r="F49" s="491">
        <v>5.9</v>
      </c>
    </row>
    <row r="50" spans="1:8" ht="16.5" customHeight="1" x14ac:dyDescent="0.3">
      <c r="A50" s="489">
        <v>6</v>
      </c>
      <c r="B50" s="493">
        <v>65805958</v>
      </c>
      <c r="C50" s="493">
        <v>8423.7999999999993</v>
      </c>
      <c r="D50" s="494">
        <v>1.1000000000000001</v>
      </c>
      <c r="E50" s="494">
        <v>9.1</v>
      </c>
      <c r="F50" s="494">
        <v>6</v>
      </c>
    </row>
    <row r="51" spans="1:8" ht="16.5" customHeight="1" x14ac:dyDescent="0.3">
      <c r="A51" s="495" t="s">
        <v>18</v>
      </c>
      <c r="B51" s="496">
        <f>AVERAGE(B45:B50)</f>
        <v>65888439.666666664</v>
      </c>
      <c r="C51" s="497">
        <f>AVERAGE(C45:C50)</f>
        <v>8430.3666666666668</v>
      </c>
      <c r="D51" s="498">
        <f>AVERAGE(D45:D50)</f>
        <v>1.0666666666666667</v>
      </c>
      <c r="E51" s="498">
        <f>AVERAGE(E45:E50)</f>
        <v>9.1</v>
      </c>
      <c r="F51" s="498">
        <f>AVERAGE(F45:F50)</f>
        <v>5.916666666666667</v>
      </c>
    </row>
    <row r="52" spans="1:8" ht="16.5" customHeight="1" x14ac:dyDescent="0.3">
      <c r="A52" s="499" t="s">
        <v>19</v>
      </c>
      <c r="B52" s="500">
        <f>(STDEV(B45:B50)/B51)</f>
        <v>1.0985523401819231E-2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6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138</v>
      </c>
      <c r="D58" s="511"/>
      <c r="E58" s="520"/>
      <c r="G58" s="512"/>
      <c r="H58" s="512"/>
    </row>
    <row r="59" spans="1:8" ht="15" customHeight="1" x14ac:dyDescent="0.3">
      <c r="B59" s="513" t="s">
        <v>26</v>
      </c>
      <c r="C59" s="513"/>
      <c r="F59" s="514" t="s">
        <v>27</v>
      </c>
      <c r="G59" s="515"/>
      <c r="H59" s="514" t="s">
        <v>28</v>
      </c>
    </row>
    <row r="60" spans="1:8" ht="15" customHeight="1" x14ac:dyDescent="0.3">
      <c r="A60" s="516" t="s">
        <v>29</v>
      </c>
      <c r="B60" s="517" t="s">
        <v>139</v>
      </c>
      <c r="C60" s="517"/>
      <c r="F60" s="517" t="s">
        <v>140</v>
      </c>
      <c r="H60" s="517"/>
    </row>
    <row r="61" spans="1:8" ht="15" customHeight="1" x14ac:dyDescent="0.3">
      <c r="A61" s="516" t="s">
        <v>30</v>
      </c>
      <c r="B61" s="518"/>
      <c r="C61" s="518"/>
      <c r="F61" s="518"/>
      <c r="H61" s="51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C27" sqref="C2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763.5</v>
      </c>
      <c r="D24" s="39">
        <f t="shared" ref="D24:D43" si="0">(C24-$C$46)/$C$46</f>
        <v>2.4947478991596338E-3</v>
      </c>
      <c r="E24" s="5"/>
    </row>
    <row r="25" spans="1:5" ht="15.75" customHeight="1" x14ac:dyDescent="0.3">
      <c r="C25" s="47">
        <v>761.5</v>
      </c>
      <c r="D25" s="40">
        <f t="shared" si="0"/>
        <v>-1.3130252100843323E-4</v>
      </c>
      <c r="E25" s="5"/>
    </row>
    <row r="26" spans="1:5" ht="15.75" customHeight="1" x14ac:dyDescent="0.3">
      <c r="C26" s="47">
        <v>757.9</v>
      </c>
      <c r="D26" s="40">
        <f t="shared" si="0"/>
        <v>-4.8581932773109843E-3</v>
      </c>
      <c r="E26" s="5"/>
    </row>
    <row r="27" spans="1:5" ht="15.75" customHeight="1" x14ac:dyDescent="0.3">
      <c r="C27" s="47">
        <v>765.5</v>
      </c>
      <c r="D27" s="40">
        <f t="shared" si="0"/>
        <v>5.1207983193277008E-3</v>
      </c>
      <c r="E27" s="5"/>
    </row>
    <row r="28" spans="1:5" ht="15.75" customHeight="1" x14ac:dyDescent="0.3">
      <c r="C28" s="47">
        <v>761.8</v>
      </c>
      <c r="D28" s="40">
        <f t="shared" si="0"/>
        <v>2.6260504201671716E-4</v>
      </c>
      <c r="E28" s="5"/>
    </row>
    <row r="29" spans="1:5" ht="15.75" customHeight="1" x14ac:dyDescent="0.3">
      <c r="C29" s="47">
        <v>772.8</v>
      </c>
      <c r="D29" s="40">
        <f t="shared" si="0"/>
        <v>1.4705882352941086E-2</v>
      </c>
      <c r="E29" s="5"/>
    </row>
    <row r="30" spans="1:5" ht="15.75" customHeight="1" x14ac:dyDescent="0.3">
      <c r="C30" s="47">
        <v>758</v>
      </c>
      <c r="D30" s="40">
        <f t="shared" si="0"/>
        <v>-4.7268907563025511E-3</v>
      </c>
      <c r="E30" s="5"/>
    </row>
    <row r="31" spans="1:5" ht="15.75" customHeight="1" x14ac:dyDescent="0.3">
      <c r="C31" s="47">
        <v>759.9</v>
      </c>
      <c r="D31" s="40">
        <f t="shared" si="0"/>
        <v>-2.2321428571429169E-3</v>
      </c>
      <c r="E31" s="5"/>
    </row>
    <row r="32" spans="1:5" ht="15.75" customHeight="1" x14ac:dyDescent="0.3">
      <c r="C32" s="47">
        <v>766</v>
      </c>
      <c r="D32" s="40">
        <f t="shared" si="0"/>
        <v>5.7773109243697178E-3</v>
      </c>
      <c r="E32" s="5"/>
    </row>
    <row r="33" spans="1:7" ht="15.75" customHeight="1" x14ac:dyDescent="0.3">
      <c r="C33" s="47">
        <v>756.6</v>
      </c>
      <c r="D33" s="40">
        <f t="shared" si="0"/>
        <v>-6.5651260504201682E-3</v>
      </c>
      <c r="E33" s="5"/>
    </row>
    <row r="34" spans="1:7" ht="15.75" customHeight="1" x14ac:dyDescent="0.3">
      <c r="C34" s="47">
        <v>762.3</v>
      </c>
      <c r="D34" s="40">
        <f t="shared" si="0"/>
        <v>9.1911764705873396E-4</v>
      </c>
      <c r="E34" s="5"/>
    </row>
    <row r="35" spans="1:7" ht="15.75" customHeight="1" x14ac:dyDescent="0.3">
      <c r="C35" s="47">
        <v>747.3</v>
      </c>
      <c r="D35" s="40">
        <f t="shared" si="0"/>
        <v>-1.877626050420177E-2</v>
      </c>
      <c r="E35" s="5"/>
    </row>
    <row r="36" spans="1:7" ht="15.75" customHeight="1" x14ac:dyDescent="0.3">
      <c r="C36" s="47">
        <v>763.2</v>
      </c>
      <c r="D36" s="40">
        <f t="shared" si="0"/>
        <v>2.1008403361344836E-3</v>
      </c>
      <c r="E36" s="5"/>
    </row>
    <row r="37" spans="1:7" ht="15.75" customHeight="1" x14ac:dyDescent="0.3">
      <c r="C37" s="47">
        <v>761.2</v>
      </c>
      <c r="D37" s="40">
        <f t="shared" si="0"/>
        <v>-5.2521008403358361E-4</v>
      </c>
      <c r="E37" s="5"/>
    </row>
    <row r="38" spans="1:7" ht="15.75" customHeight="1" x14ac:dyDescent="0.3">
      <c r="C38" s="47">
        <v>749.1</v>
      </c>
      <c r="D38" s="40">
        <f t="shared" si="0"/>
        <v>-1.6412815126050421E-2</v>
      </c>
      <c r="E38" s="5"/>
    </row>
    <row r="39" spans="1:7" ht="15.75" customHeight="1" x14ac:dyDescent="0.3">
      <c r="C39" s="47">
        <v>765.9</v>
      </c>
      <c r="D39" s="40">
        <f t="shared" si="0"/>
        <v>5.6460084033612846E-3</v>
      </c>
      <c r="E39" s="5"/>
    </row>
    <row r="40" spans="1:7" ht="15.75" customHeight="1" x14ac:dyDescent="0.3">
      <c r="C40" s="47">
        <v>766.7</v>
      </c>
      <c r="D40" s="40">
        <f t="shared" si="0"/>
        <v>6.6964285714286014E-3</v>
      </c>
      <c r="E40" s="5"/>
    </row>
    <row r="41" spans="1:7" ht="15.75" customHeight="1" x14ac:dyDescent="0.3">
      <c r="C41" s="47">
        <v>770.6</v>
      </c>
      <c r="D41" s="40">
        <f t="shared" si="0"/>
        <v>1.1817226890756302E-2</v>
      </c>
      <c r="E41" s="5"/>
    </row>
    <row r="42" spans="1:7" ht="15.75" customHeight="1" x14ac:dyDescent="0.3">
      <c r="C42" s="47">
        <v>764.4</v>
      </c>
      <c r="D42" s="40">
        <f t="shared" si="0"/>
        <v>3.6764705882352342E-3</v>
      </c>
      <c r="E42" s="5"/>
    </row>
    <row r="43" spans="1:7" ht="16.5" customHeight="1" x14ac:dyDescent="0.3">
      <c r="C43" s="48">
        <v>757.8</v>
      </c>
      <c r="D43" s="41">
        <f t="shared" si="0"/>
        <v>-4.9894957983194176E-3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15232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761.6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761.6</v>
      </c>
      <c r="C49" s="45">
        <f>-IF(C46&lt;=80,10%,IF(C46&lt;250,7.5%,5%))</f>
        <v>-0.05</v>
      </c>
      <c r="D49" s="33">
        <f>IF(C46&lt;=80,C46*0.9,IF(C46&lt;250,C46*0.925,C46*0.95))</f>
        <v>723.52</v>
      </c>
    </row>
    <row r="50" spans="1:6" ht="17.25" customHeight="1" x14ac:dyDescent="0.3">
      <c r="B50" s="427"/>
      <c r="C50" s="46">
        <f>IF(C46&lt;=80, 10%, IF(C46&lt;250, 7.5%, 5%))</f>
        <v>0.05</v>
      </c>
      <c r="D50" s="33">
        <f>IF(C46&lt;=80, C46*1.1, IF(C46&lt;250, C46*1.075, C46*1.05))</f>
        <v>799.68000000000006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A23" sqref="A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133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42964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42968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133</v>
      </c>
      <c r="C26" s="436"/>
    </row>
    <row r="27" spans="1:14" ht="26.25" customHeight="1" x14ac:dyDescent="0.4">
      <c r="A27" s="61" t="s">
        <v>48</v>
      </c>
      <c r="B27" s="442" t="s">
        <v>134</v>
      </c>
      <c r="C27" s="44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35347762</v>
      </c>
      <c r="E38" s="85">
        <f>IF(ISBLANK(D38),"-",$D$48/$D$45*D38)</f>
        <v>37815446.796128139</v>
      </c>
      <c r="F38" s="84">
        <v>39635994</v>
      </c>
      <c r="G38" s="86">
        <f>IF(ISBLANK(F38),"-",$D$48/$F$45*F38)</f>
        <v>38777916.268803902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35390697</v>
      </c>
      <c r="E39" s="90">
        <f>IF(ISBLANK(D39),"-",$D$48/$D$45*D39)</f>
        <v>37861379.158357799</v>
      </c>
      <c r="F39" s="89">
        <v>39651164</v>
      </c>
      <c r="G39" s="91">
        <f>IF(ISBLANK(F39),"-",$D$48/$F$45*F39)</f>
        <v>38792757.854202211</v>
      </c>
      <c r="I39" s="453">
        <f>ABS((F43/D43*D42)-F42)/D42</f>
        <v>2.8223653494261911E-2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35342713</v>
      </c>
      <c r="E40" s="90">
        <f>IF(ISBLANK(D40),"-",$D$48/$D$45*D40)</f>
        <v>37810045.317220546</v>
      </c>
      <c r="F40" s="89">
        <v>39704949</v>
      </c>
      <c r="G40" s="91">
        <f>IF(ISBLANK(F40),"-",$D$48/$F$45*F40)</f>
        <v>38845378.46531941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35360390.666666664</v>
      </c>
      <c r="E42" s="100">
        <f>AVERAGE(E38:E41)</f>
        <v>37828957.090568833</v>
      </c>
      <c r="F42" s="99">
        <f>AVERAGE(F38:F41)</f>
        <v>39664035.666666664</v>
      </c>
      <c r="G42" s="101">
        <f>AVERAGE(G38:G41)</f>
        <v>38805350.862775169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14.12</v>
      </c>
      <c r="E43" s="92"/>
      <c r="F43" s="104">
        <v>15.44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14.12</v>
      </c>
      <c r="E44" s="107"/>
      <c r="F44" s="106">
        <f>F43*$B$34</f>
        <v>15.44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14.02116</v>
      </c>
      <c r="E45" s="110"/>
      <c r="F45" s="109">
        <f>F44*$B$30/100</f>
        <v>15.33192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0.14021159999999999</v>
      </c>
      <c r="E46" s="112"/>
      <c r="F46" s="113">
        <f>F45/$B$45</f>
        <v>0.15331919999999999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38317153.976672001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1.3977027057032699E-2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Eacg film coated tablet contains Lamivudine USP 150 &amp; Zidovudine USP 300 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Lamivudine </v>
      </c>
      <c r="H56" s="131"/>
    </row>
    <row r="57" spans="1:12" ht="18.75" x14ac:dyDescent="0.3">
      <c r="A57" s="128" t="s">
        <v>88</v>
      </c>
      <c r="B57" s="199">
        <f>Uniformity!C46</f>
        <v>761.6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458" t="s">
        <v>94</v>
      </c>
      <c r="D60" s="461">
        <v>762.9</v>
      </c>
      <c r="E60" s="134">
        <v>1</v>
      </c>
      <c r="F60" s="135"/>
      <c r="G60" s="200" t="str">
        <f>IF(ISBLANK(F60),"-",(F60/$D$50*$D$47*$B$68)*($B$57/$D$60))</f>
        <v>-</v>
      </c>
      <c r="H60" s="218" t="str">
        <f t="shared" ref="H60:H71" si="0">IF(ISBLANK(F60),"-",(G60/$B$56)*100)</f>
        <v>-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459"/>
      <c r="D61" s="462"/>
      <c r="E61" s="136">
        <v>2</v>
      </c>
      <c r="F61" s="89"/>
      <c r="G61" s="201" t="str">
        <f>IF(ISBLANK(F61),"-",(F61/$D$50*$D$47*$B$68)*($B$57/$D$60))</f>
        <v>-</v>
      </c>
      <c r="H61" s="219" t="str">
        <f t="shared" si="0"/>
        <v>-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/>
      <c r="G62" s="201" t="str">
        <f>IF(ISBLANK(F62),"-",(F62/$D$50*$D$47*$B$68)*($B$57/$D$60))</f>
        <v>-</v>
      </c>
      <c r="H62" s="219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759.62</v>
      </c>
      <c r="E64" s="134">
        <v>1</v>
      </c>
      <c r="F64" s="135">
        <v>37207527</v>
      </c>
      <c r="G64" s="200">
        <f>IF(ISBLANK(F64),"-",(F64/$D$50*$D$47*$B$68)*($B$57/$D$64))</f>
        <v>146.03581041253707</v>
      </c>
      <c r="H64" s="218">
        <f t="shared" si="0"/>
        <v>97.357206941691388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37349077</v>
      </c>
      <c r="G65" s="201">
        <f>IF(ISBLANK(F65),"-",(F65/$D$50*$D$47*$B$68)*($B$57/$D$64))</f>
        <v>146.59137996070658</v>
      </c>
      <c r="H65" s="219">
        <f t="shared" si="0"/>
        <v>97.72758664047106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37458996</v>
      </c>
      <c r="G66" s="201">
        <f>IF(ISBLANK(F66),"-",(F66/$D$50*$D$47*$B$68)*($B$57/$D$64))</f>
        <v>147.02280100744088</v>
      </c>
      <c r="H66" s="219">
        <f t="shared" si="0"/>
        <v>98.015200671627241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458" t="s">
        <v>104</v>
      </c>
      <c r="D68" s="461">
        <v>760.41</v>
      </c>
      <c r="E68" s="134">
        <v>1</v>
      </c>
      <c r="F68" s="135">
        <v>37791870</v>
      </c>
      <c r="G68" s="200">
        <f>IF(ISBLANK(F68),"-",(F68/$D$50*$D$47*$B$68)*($B$57/$D$68))</f>
        <v>148.17519679156092</v>
      </c>
      <c r="H68" s="219">
        <f t="shared" si="0"/>
        <v>98.783464527707281</v>
      </c>
    </row>
    <row r="69" spans="1:8" ht="27" customHeight="1" x14ac:dyDescent="0.4">
      <c r="A69" s="124" t="s">
        <v>105</v>
      </c>
      <c r="B69" s="141">
        <f>(D47*B68)/B56*B57</f>
        <v>761.6</v>
      </c>
      <c r="C69" s="459"/>
      <c r="D69" s="462"/>
      <c r="E69" s="136">
        <v>2</v>
      </c>
      <c r="F69" s="89">
        <v>37731738</v>
      </c>
      <c r="G69" s="201">
        <f>IF(ISBLANK(F69),"-",(F69/$D$50*$D$47*$B$68)*($B$57/$D$68))</f>
        <v>147.93942992071095</v>
      </c>
      <c r="H69" s="219">
        <f t="shared" si="0"/>
        <v>98.626286613807295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37753189</v>
      </c>
      <c r="G70" s="201">
        <f>IF(ISBLANK(F70),"-",(F70/$D$50*$D$47*$B$68)*($B$57/$D$68))</f>
        <v>148.02353547426983</v>
      </c>
      <c r="H70" s="219">
        <f t="shared" si="0"/>
        <v>98.682356982846557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147.29802559453771</v>
      </c>
      <c r="H72" s="221">
        <f>AVERAGE(H60:H71)</f>
        <v>98.198683729691808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5.9769643453342434E-3</v>
      </c>
      <c r="H73" s="205">
        <f>STDEV(H60:H71)/H72</f>
        <v>5.9769643453342122E-3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6</v>
      </c>
      <c r="H74" s="148">
        <f>COUNT(H60:H71)</f>
        <v>6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Lamivudine </v>
      </c>
      <c r="D76" s="466"/>
      <c r="E76" s="150" t="s">
        <v>108</v>
      </c>
      <c r="F76" s="150"/>
      <c r="G76" s="237">
        <f>H72</f>
        <v>98.198683729691808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 xml:space="preserve">Lamivudine </v>
      </c>
      <c r="C79" s="452"/>
    </row>
    <row r="80" spans="1:8" ht="26.25" customHeight="1" x14ac:dyDescent="0.4">
      <c r="A80" s="61" t="s">
        <v>48</v>
      </c>
      <c r="B80" s="452" t="str">
        <f>B27</f>
        <v>L3-10</v>
      </c>
      <c r="C80" s="452"/>
    </row>
    <row r="81" spans="1:12" ht="27" customHeight="1" x14ac:dyDescent="0.4">
      <c r="A81" s="61" t="s">
        <v>6</v>
      </c>
      <c r="B81" s="153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35766228</v>
      </c>
      <c r="E91" s="85">
        <f>IF(ISBLANK(D91),"-",$D$101/$D$98*D91)</f>
        <v>42514585.098522514</v>
      </c>
      <c r="F91" s="84">
        <v>40054964</v>
      </c>
      <c r="G91" s="86">
        <f>IF(ISBLANK(F91),"-",$D$101/$F$98*F91)</f>
        <v>43542017.785987228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35556983</v>
      </c>
      <c r="E92" s="90">
        <f>IF(ISBLANK(D92),"-",$D$101/$D$98*D92)</f>
        <v>42265859.838510744</v>
      </c>
      <c r="F92" s="89">
        <v>40085882</v>
      </c>
      <c r="G92" s="91">
        <f>IF(ISBLANK(F92),"-",$D$101/$F$98*F92)</f>
        <v>43575627.405656517</v>
      </c>
      <c r="I92" s="453">
        <f>ABS((F96/D96*D95)-F95)/D95</f>
        <v>2.9082291190563696E-2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35940637</v>
      </c>
      <c r="E93" s="90">
        <f>IF(ISBLANK(D93),"-",$D$101/$D$98*D93)</f>
        <v>42721901.516469866</v>
      </c>
      <c r="F93" s="89">
        <v>40269979</v>
      </c>
      <c r="G93" s="91">
        <f>IF(ISBLANK(F93),"-",$D$101/$F$98*F93)</f>
        <v>43775751.286640331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35754616</v>
      </c>
      <c r="E95" s="100">
        <f>AVERAGE(E91:E94)</f>
        <v>42500782.151167713</v>
      </c>
      <c r="F95" s="163">
        <f>AVERAGE(F91:F94)</f>
        <v>40136941.666666664</v>
      </c>
      <c r="G95" s="164">
        <f>AVERAGE(G91:G94)</f>
        <v>43631132.159428023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14.12</v>
      </c>
      <c r="E96" s="92"/>
      <c r="F96" s="104">
        <v>15.44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14.12</v>
      </c>
      <c r="E97" s="107"/>
      <c r="F97" s="106">
        <f>F96*$B$87</f>
        <v>15.44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14.02116</v>
      </c>
      <c r="E98" s="110"/>
      <c r="F98" s="109">
        <f>F97*$B$83/100</f>
        <v>15.33192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0.14021159999999999</v>
      </c>
      <c r="E99" s="110"/>
      <c r="F99" s="113">
        <f>F98/$B$98</f>
        <v>0.15331919999999999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43065957.155297868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1.4878136442832642E-2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43641036</v>
      </c>
      <c r="E108" s="202">
        <f t="shared" ref="E108:E113" si="1">IF(ISBLANK(D108),"-",D108/$D$103*$D$100*$B$116)</f>
        <v>152.00301659137068</v>
      </c>
      <c r="F108" s="229">
        <f t="shared" ref="F108:F113" si="2">IF(ISBLANK(D108), "-", (E108/$B$56)*100)</f>
        <v>101.33534439424712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43839695</v>
      </c>
      <c r="E109" s="203">
        <f t="shared" si="1"/>
        <v>152.69495175242011</v>
      </c>
      <c r="F109" s="230">
        <f t="shared" si="2"/>
        <v>101.7966345016134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43942220</v>
      </c>
      <c r="E110" s="203">
        <f t="shared" si="1"/>
        <v>153.05204935377014</v>
      </c>
      <c r="F110" s="230">
        <f t="shared" si="2"/>
        <v>102.03469956918011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43310177</v>
      </c>
      <c r="E111" s="203">
        <f t="shared" si="1"/>
        <v>150.85062492801958</v>
      </c>
      <c r="F111" s="230">
        <f t="shared" si="2"/>
        <v>100.56708328534638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43426101</v>
      </c>
      <c r="E112" s="203">
        <f t="shared" si="1"/>
        <v>151.25439164188353</v>
      </c>
      <c r="F112" s="230">
        <f t="shared" si="2"/>
        <v>100.83626109458903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43583966</v>
      </c>
      <c r="E113" s="204">
        <f t="shared" si="1"/>
        <v>151.80424009676889</v>
      </c>
      <c r="F113" s="231">
        <f t="shared" si="2"/>
        <v>101.20282673117926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151.94321239403882</v>
      </c>
      <c r="F115" s="233">
        <f>AVERAGE(F108:F113)</f>
        <v>101.29547492935922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5.4951728478846466E-3</v>
      </c>
      <c r="F116" s="187">
        <f>STDEV(F108:F113)/F115</f>
        <v>5.495172847884644E-3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150.85062492801958</v>
      </c>
      <c r="F119" s="234">
        <f>MIN(F108:F113)</f>
        <v>100.56708328534638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153.05204935377014</v>
      </c>
      <c r="F120" s="235">
        <f>MAX(F108:F113)</f>
        <v>102.03469956918011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Lamivudine </v>
      </c>
      <c r="D124" s="466"/>
      <c r="E124" s="150" t="s">
        <v>127</v>
      </c>
      <c r="F124" s="150"/>
      <c r="G124" s="236">
        <f>F115</f>
        <v>101.29547492935922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100.56708328534638</v>
      </c>
      <c r="E125" s="161" t="s">
        <v>130</v>
      </c>
      <c r="F125" s="236">
        <f>MAX(F108:F113)</f>
        <v>102.03469956918011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activeCell="B19" sqref="B1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131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42964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42968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131</v>
      </c>
      <c r="C26" s="436"/>
    </row>
    <row r="27" spans="1:14" ht="26.25" customHeight="1" x14ac:dyDescent="0.4">
      <c r="A27" s="249" t="s">
        <v>48</v>
      </c>
      <c r="B27" s="442" t="s">
        <v>132</v>
      </c>
      <c r="C27" s="442"/>
    </row>
    <row r="28" spans="1:14" ht="27" customHeight="1" x14ac:dyDescent="0.4">
      <c r="A28" s="249" t="s">
        <v>6</v>
      </c>
      <c r="B28" s="250">
        <v>99.65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99.65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62955457</v>
      </c>
      <c r="E38" s="273">
        <f>IF(ISBLANK(D38),"-",$D$48/$D$45*D38)</f>
        <v>66971634.288915798</v>
      </c>
      <c r="F38" s="272">
        <v>69710355</v>
      </c>
      <c r="G38" s="274">
        <f>IF(ISBLANK(F38),"-",$D$48/$F$45*F38)</f>
        <v>68049803.690348119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63023903</v>
      </c>
      <c r="E39" s="278">
        <f>IF(ISBLANK(D39),"-",$D$48/$D$45*D39)</f>
        <v>67044446.729631446</v>
      </c>
      <c r="F39" s="277">
        <v>69721299</v>
      </c>
      <c r="G39" s="279">
        <f>IF(ISBLANK(F39),"-",$D$48/$F$45*F39)</f>
        <v>68060486.996315897</v>
      </c>
      <c r="I39" s="453">
        <f>ABS((F43/D43*D42)-F42)/D42</f>
        <v>1.7991799799368532E-2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62927122</v>
      </c>
      <c r="E40" s="278">
        <f>IF(ISBLANK(D40),"-",$D$48/$D$45*D40)</f>
        <v>66941491.687336773</v>
      </c>
      <c r="F40" s="277">
        <v>69828453</v>
      </c>
      <c r="G40" s="279">
        <f>IF(ISBLANK(F40),"-",$D$48/$F$45*F40)</f>
        <v>68165088.510174707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62968827.333333336</v>
      </c>
      <c r="E42" s="288">
        <f>AVERAGE(E38:E41)</f>
        <v>66985857.568628006</v>
      </c>
      <c r="F42" s="287">
        <f>AVERAGE(F38:F41)</f>
        <v>69753369</v>
      </c>
      <c r="G42" s="289">
        <f>AVERAGE(G38:G41)</f>
        <v>68091793.065612912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28.3</v>
      </c>
      <c r="E43" s="280"/>
      <c r="F43" s="292">
        <v>30.84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28.3</v>
      </c>
      <c r="E44" s="295"/>
      <c r="F44" s="294">
        <f>F43*$B$34</f>
        <v>30.84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28.200950000000002</v>
      </c>
      <c r="E45" s="298"/>
      <c r="F45" s="297">
        <f>F44*$B$30/100</f>
        <v>30.732060000000001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0.28200950000000002</v>
      </c>
      <c r="E46" s="300"/>
      <c r="F46" s="301">
        <f>F45/$B$45</f>
        <v>0.3073206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67538825.317120448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9.0023236789902594E-3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Eacg film coated tablet contains Lamivudine USP 150 &amp; Zidovudine USP 300 mg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Zidovudine </v>
      </c>
      <c r="H56" s="319"/>
    </row>
    <row r="57" spans="1:12" ht="18.75" x14ac:dyDescent="0.3">
      <c r="A57" s="316" t="s">
        <v>88</v>
      </c>
      <c r="B57" s="387">
        <f>Uniformity!C46</f>
        <v>761.6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458" t="s">
        <v>94</v>
      </c>
      <c r="D60" s="461">
        <v>762.9</v>
      </c>
      <c r="E60" s="322">
        <v>1</v>
      </c>
      <c r="F60" s="323">
        <v>65982617</v>
      </c>
      <c r="G60" s="388">
        <f>IF(ISBLANK(F60),"-",(F60/$D$50*$D$47*$B$68)*($B$57/$D$60))</f>
        <v>292.58806643413641</v>
      </c>
      <c r="H60" s="406">
        <f t="shared" ref="H60:H71" si="0">IF(ISBLANK(F60),"-",(G60/$B$56)*100)</f>
        <v>97.52935547804546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459"/>
      <c r="D61" s="462"/>
      <c r="E61" s="324">
        <v>2</v>
      </c>
      <c r="F61" s="277">
        <v>65900540</v>
      </c>
      <c r="G61" s="389">
        <f>IF(ISBLANK(F61),"-",(F61/$D$50*$D$47*$B$68)*($B$57/$D$60))</f>
        <v>292.22411071639465</v>
      </c>
      <c r="H61" s="407">
        <f t="shared" si="0"/>
        <v>97.408036905464883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65948428</v>
      </c>
      <c r="G62" s="389">
        <f>IF(ISBLANK(F62),"-",(F62/$D$50*$D$47*$B$68)*($B$57/$D$60))</f>
        <v>292.43646145303484</v>
      </c>
      <c r="H62" s="407">
        <f t="shared" si="0"/>
        <v>97.478820484344936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759.62</v>
      </c>
      <c r="E64" s="322">
        <v>1</v>
      </c>
      <c r="F64" s="323">
        <v>66933142</v>
      </c>
      <c r="G64" s="388">
        <f>IF(ISBLANK(F64),"-",(F64/$D$50*$D$47*$B$68)*($B$57/$D$64))</f>
        <v>298.08457890690232</v>
      </c>
      <c r="H64" s="406">
        <f t="shared" si="0"/>
        <v>99.361526302300774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>
        <v>67148871</v>
      </c>
      <c r="G65" s="389">
        <f>IF(ISBLANK(F65),"-",(F65/$D$50*$D$47*$B$68)*($B$57/$D$64))</f>
        <v>299.04532101763431</v>
      </c>
      <c r="H65" s="407">
        <f t="shared" si="0"/>
        <v>99.681773672544765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>
        <v>67330168</v>
      </c>
      <c r="G66" s="389">
        <f>IF(ISBLANK(F66),"-",(F66/$D$50*$D$47*$B$68)*($B$57/$D$64))</f>
        <v>299.85272133214642</v>
      </c>
      <c r="H66" s="407">
        <f t="shared" si="0"/>
        <v>99.950907110715477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458" t="s">
        <v>104</v>
      </c>
      <c r="D68" s="461">
        <v>760.41</v>
      </c>
      <c r="E68" s="322">
        <v>1</v>
      </c>
      <c r="F68" s="323">
        <v>68319514</v>
      </c>
      <c r="G68" s="388">
        <f>IF(ISBLANK(F68),"-",(F68/$D$50*$D$47*$B$68)*($B$57/$D$68))</f>
        <v>303.94264325468282</v>
      </c>
      <c r="H68" s="407">
        <f t="shared" si="0"/>
        <v>101.31421441822761</v>
      </c>
    </row>
    <row r="69" spans="1:8" ht="27" customHeight="1" x14ac:dyDescent="0.4">
      <c r="A69" s="312" t="s">
        <v>105</v>
      </c>
      <c r="B69" s="329">
        <f>(D47*B68)/B56*B57</f>
        <v>761.6</v>
      </c>
      <c r="C69" s="459"/>
      <c r="D69" s="462"/>
      <c r="E69" s="324">
        <v>2</v>
      </c>
      <c r="F69" s="277">
        <v>68193749</v>
      </c>
      <c r="G69" s="389">
        <f>IF(ISBLANK(F69),"-",(F69/$D$50*$D$47*$B$68)*($B$57/$D$68))</f>
        <v>303.38313478790815</v>
      </c>
      <c r="H69" s="407">
        <f t="shared" si="0"/>
        <v>101.12771159596939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68217109</v>
      </c>
      <c r="G70" s="389">
        <f>IF(ISBLANK(F70),"-",(F70/$D$50*$D$47*$B$68)*($B$57/$D$68))</f>
        <v>303.4870597096579</v>
      </c>
      <c r="H70" s="407">
        <f t="shared" si="0"/>
        <v>101.16235323655263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298.33823306805533</v>
      </c>
      <c r="H72" s="409">
        <f>AVERAGE(H60:H71)</f>
        <v>99.446077689351768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1.6399780793352425E-2</v>
      </c>
      <c r="H73" s="393">
        <f>STDEV(H60:H71)/H72</f>
        <v>1.6399780793352459E-2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Zidovudine </v>
      </c>
      <c r="D76" s="466"/>
      <c r="E76" s="338" t="s">
        <v>108</v>
      </c>
      <c r="F76" s="338"/>
      <c r="G76" s="425">
        <f>H72</f>
        <v>99.446077689351768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 xml:space="preserve">Zidovudine </v>
      </c>
      <c r="C79" s="452"/>
    </row>
    <row r="80" spans="1:8" ht="26.25" customHeight="1" x14ac:dyDescent="0.4">
      <c r="A80" s="249" t="s">
        <v>48</v>
      </c>
      <c r="B80" s="452" t="str">
        <f>B27</f>
        <v>Z1-3</v>
      </c>
      <c r="C80" s="452"/>
    </row>
    <row r="81" spans="1:12" ht="27" customHeight="1" x14ac:dyDescent="0.4">
      <c r="A81" s="249" t="s">
        <v>6</v>
      </c>
      <c r="B81" s="341">
        <f>B28</f>
        <v>99.65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99.65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63015748</v>
      </c>
      <c r="E91" s="273">
        <f>IF(ISBLANK(D91),"-",$D$101/$D$98*D91)</f>
        <v>74484190.544408351</v>
      </c>
      <c r="F91" s="272">
        <v>69736959</v>
      </c>
      <c r="G91" s="274">
        <f>IF(ISBLANK(F91),"-",$D$101/$F$98*F91)</f>
        <v>75639748.848596543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62768322</v>
      </c>
      <c r="E92" s="278">
        <f>IF(ISBLANK(D92),"-",$D$101/$D$98*D92)</f>
        <v>74191734.67560488</v>
      </c>
      <c r="F92" s="277">
        <v>69835596</v>
      </c>
      <c r="G92" s="279">
        <f>IF(ISBLANK(F92),"-",$D$101/$F$98*F92)</f>
        <v>75746734.843027115</v>
      </c>
      <c r="I92" s="453">
        <f>ABS((F96/D96*D95)-F95)/D95</f>
        <v>2.1315717197911768E-2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63343055</v>
      </c>
      <c r="E93" s="278">
        <f>IF(ISBLANK(D93),"-",$D$101/$D$98*D93)</f>
        <v>74871065.218252093</v>
      </c>
      <c r="F93" s="277">
        <v>70560611</v>
      </c>
      <c r="G93" s="279">
        <f>IF(ISBLANK(F93),"-",$D$101/$F$98*F93)</f>
        <v>76533117.749564022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63042375</v>
      </c>
      <c r="E95" s="288">
        <f>AVERAGE(E91:E94)</f>
        <v>74515663.47942178</v>
      </c>
      <c r="F95" s="351">
        <f>AVERAGE(F91:F94)</f>
        <v>70044388.666666672</v>
      </c>
      <c r="G95" s="352">
        <f>AVERAGE(G91:G94)</f>
        <v>75973200.480395898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28.3</v>
      </c>
      <c r="E96" s="280"/>
      <c r="F96" s="292">
        <v>30.84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28.3</v>
      </c>
      <c r="E97" s="295"/>
      <c r="F97" s="294">
        <f>F96*$B$87</f>
        <v>30.84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28.200950000000002</v>
      </c>
      <c r="E98" s="298"/>
      <c r="F98" s="297">
        <f>F97*$B$83/100</f>
        <v>30.732060000000001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0.28200950000000002</v>
      </c>
      <c r="E99" s="298"/>
      <c r="F99" s="301">
        <f>F98/$B$98</f>
        <v>0.3073206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0.33333333333333331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33.333333333333329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33.333333333333329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75244431.979908839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1.1729654431445137E-2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76693947</v>
      </c>
      <c r="E108" s="390">
        <f t="shared" ref="E108:E113" si="1">IF(ISBLANK(D108),"-",D108/$D$103*$D$100*$B$116)</f>
        <v>305.77922504808669</v>
      </c>
      <c r="F108" s="417">
        <f t="shared" ref="F108:F113" si="2">IF(ISBLANK(D108), "-", (E108/$B$56)*100)</f>
        <v>101.92640834936222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77028155</v>
      </c>
      <c r="E109" s="391">
        <f t="shared" si="1"/>
        <v>307.11171434147082</v>
      </c>
      <c r="F109" s="418">
        <f t="shared" si="2"/>
        <v>102.37057144715693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77249234</v>
      </c>
      <c r="E110" s="391">
        <f t="shared" si="1"/>
        <v>307.99315763574288</v>
      </c>
      <c r="F110" s="418">
        <f t="shared" si="2"/>
        <v>102.66438587858096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76296556</v>
      </c>
      <c r="E111" s="391">
        <f t="shared" si="1"/>
        <v>304.19482475609124</v>
      </c>
      <c r="F111" s="418">
        <f t="shared" si="2"/>
        <v>101.39827491869708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76301367</v>
      </c>
      <c r="E112" s="391">
        <f t="shared" si="1"/>
        <v>304.21400624184406</v>
      </c>
      <c r="F112" s="418">
        <f t="shared" si="2"/>
        <v>101.40466874728136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76626535</v>
      </c>
      <c r="E113" s="392">
        <f t="shared" si="1"/>
        <v>305.51045300120091</v>
      </c>
      <c r="F113" s="419">
        <f t="shared" si="2"/>
        <v>101.83681766706698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305.80056350407278</v>
      </c>
      <c r="F115" s="421">
        <f>AVERAGE(F108:F113)</f>
        <v>101.93352116802426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5.0037451538926117E-3</v>
      </c>
      <c r="F116" s="375">
        <f>STDEV(F108:F113)/F115</f>
        <v>5.0037451538925718E-3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304.19482475609124</v>
      </c>
      <c r="F119" s="422">
        <f>MIN(F108:F113)</f>
        <v>101.39827491869708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307.99315763574288</v>
      </c>
      <c r="F120" s="423">
        <f>MAX(F108:F113)</f>
        <v>102.66438587858096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Zidovudine </v>
      </c>
      <c r="D124" s="466"/>
      <c r="E124" s="338" t="s">
        <v>127</v>
      </c>
      <c r="F124" s="338"/>
      <c r="G124" s="424">
        <f>F115</f>
        <v>101.93352116802426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101.39827491869708</v>
      </c>
      <c r="E125" s="349" t="s">
        <v>130</v>
      </c>
      <c r="F125" s="424">
        <f>MAX(F108:F113)</f>
        <v>102.66438587858096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2017-08-21T07:19:23Z</cp:lastPrinted>
  <dcterms:created xsi:type="dcterms:W3CDTF">2005-07-05T10:19:27Z</dcterms:created>
  <dcterms:modified xsi:type="dcterms:W3CDTF">2017-08-21T07:19:28Z</dcterms:modified>
</cp:coreProperties>
</file>