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612" windowWidth="20772" windowHeight="10680"/>
  </bookViews>
  <sheets>
    <sheet name="EFAVIRENZ" sheetId="6" r:id="rId1"/>
    <sheet name="SST" sheetId="4" r:id="rId2"/>
    <sheet name="Uniformity" sheetId="2" r:id="rId3"/>
  </sheets>
  <definedNames>
    <definedName name="_xlnm.Print_Area" localSheetId="0">EFAVIRENZ!$A$1:$H$129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7" i="6" l="1"/>
  <c r="B30" i="6"/>
  <c r="B34" i="6"/>
  <c r="D44" i="6" s="1"/>
  <c r="I39" i="6"/>
  <c r="E41" i="6"/>
  <c r="G41" i="6"/>
  <c r="D42" i="6"/>
  <c r="F42" i="6"/>
  <c r="F44" i="6"/>
  <c r="B45" i="6"/>
  <c r="D48" i="6"/>
  <c r="B55" i="6"/>
  <c r="C56" i="6"/>
  <c r="G63" i="6"/>
  <c r="H63" i="6"/>
  <c r="G67" i="6"/>
  <c r="H67" i="6"/>
  <c r="B68" i="6"/>
  <c r="B69" i="6" s="1"/>
  <c r="G71" i="6"/>
  <c r="H71" i="6"/>
  <c r="C76" i="6"/>
  <c r="B79" i="6"/>
  <c r="B80" i="6"/>
  <c r="B81" i="6"/>
  <c r="B83" i="6" s="1"/>
  <c r="B87" i="6"/>
  <c r="F97" i="6" s="1"/>
  <c r="E91" i="6"/>
  <c r="G91" i="6"/>
  <c r="E92" i="6"/>
  <c r="G92" i="6"/>
  <c r="E93" i="6"/>
  <c r="G93" i="6"/>
  <c r="E94" i="6"/>
  <c r="G94" i="6"/>
  <c r="D95" i="6"/>
  <c r="F95" i="6"/>
  <c r="D97" i="6"/>
  <c r="D98" i="6" s="1"/>
  <c r="D99" i="6" s="1"/>
  <c r="B98" i="6"/>
  <c r="E108" i="6"/>
  <c r="F108" i="6" s="1"/>
  <c r="E109" i="6"/>
  <c r="F109" i="6" s="1"/>
  <c r="E110" i="6"/>
  <c r="F110" i="6" s="1"/>
  <c r="E111" i="6"/>
  <c r="F111" i="6"/>
  <c r="E112" i="6"/>
  <c r="F112" i="6" s="1"/>
  <c r="E113" i="6"/>
  <c r="F113" i="6"/>
  <c r="B116" i="6"/>
  <c r="D100" i="6" s="1"/>
  <c r="D101" i="6" s="1"/>
  <c r="D102" i="6" s="1"/>
  <c r="C124" i="6"/>
  <c r="I92" i="6" l="1"/>
  <c r="D105" i="6"/>
  <c r="E119" i="6"/>
  <c r="D103" i="6"/>
  <c r="D104" i="6" s="1"/>
  <c r="F119" i="6"/>
  <c r="F115" i="6"/>
  <c r="F116" i="6" s="1"/>
  <c r="G95" i="6"/>
  <c r="D45" i="6"/>
  <c r="D46" i="6" s="1"/>
  <c r="E117" i="6"/>
  <c r="F98" i="6"/>
  <c r="F99" i="6" s="1"/>
  <c r="F45" i="6"/>
  <c r="F46" i="6" s="1"/>
  <c r="F120" i="6"/>
  <c r="D125" i="6"/>
  <c r="E120" i="6"/>
  <c r="E115" i="6"/>
  <c r="E116" i="6" s="1"/>
  <c r="E95" i="6"/>
  <c r="D49" i="6"/>
  <c r="F125" i="6"/>
  <c r="F117" i="6"/>
  <c r="G124" i="6" l="1"/>
  <c r="G39" i="6"/>
  <c r="E40" i="6"/>
  <c r="E39" i="6"/>
  <c r="D50" i="6" s="1"/>
  <c r="G40" i="6"/>
  <c r="G38" i="6"/>
  <c r="E38" i="6"/>
  <c r="G42" i="6"/>
  <c r="E42" i="6" l="1"/>
  <c r="D52" i="6"/>
  <c r="G61" i="6"/>
  <c r="H61" i="6" s="1"/>
  <c r="G70" i="6"/>
  <c r="H70" i="6" s="1"/>
  <c r="G64" i="6"/>
  <c r="H64" i="6" s="1"/>
  <c r="G69" i="6"/>
  <c r="H69" i="6" s="1"/>
  <c r="D51" i="6"/>
  <c r="G62" i="6"/>
  <c r="H62" i="6" s="1"/>
  <c r="G68" i="6"/>
  <c r="H68" i="6" s="1"/>
  <c r="G65" i="6"/>
  <c r="H65" i="6" s="1"/>
  <c r="G60" i="6"/>
  <c r="G66" i="6"/>
  <c r="H66" i="6" s="1"/>
  <c r="H60" i="6" l="1"/>
  <c r="G72" i="6"/>
  <c r="G73" i="6" s="1"/>
  <c r="G74" i="6"/>
  <c r="H72" i="6" l="1"/>
  <c r="H74" i="6"/>
  <c r="H73" i="6" l="1"/>
  <c r="G76" i="6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49" i="2" l="1"/>
  <c r="C46" i="2"/>
  <c r="C45" i="2"/>
  <c r="D43" i="2"/>
  <c r="D41" i="2"/>
  <c r="D40" i="2"/>
  <c r="D39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C19" i="2"/>
  <c r="C50" i="2" l="1"/>
  <c r="D34" i="2"/>
  <c r="D38" i="2"/>
  <c r="D42" i="2"/>
  <c r="B49" i="2"/>
  <c r="D50" i="2"/>
  <c r="D49" i="2"/>
</calcChain>
</file>

<file path=xl/sharedStrings.xml><?xml version="1.0" encoding="utf-8"?>
<sst xmlns="http://schemas.openxmlformats.org/spreadsheetml/2006/main" count="239" uniqueCount="137">
  <si>
    <t>HPLC System Suitability Report</t>
  </si>
  <si>
    <t>Analysis Data</t>
  </si>
  <si>
    <t>Assay</t>
  </si>
  <si>
    <t>Sample(s)</t>
  </si>
  <si>
    <t>Reference Substance:</t>
  </si>
  <si>
    <t>EFAVIRENZ  TABLETS 600 MG</t>
  </si>
  <si>
    <t>% age Purity:</t>
  </si>
  <si>
    <t>NDQB201707086</t>
  </si>
  <si>
    <t>Weight (mg):</t>
  </si>
  <si>
    <t>EFAVIRENZ</t>
  </si>
  <si>
    <t>Standard Conc (mg/mL):</t>
  </si>
  <si>
    <t>Each film-coated tablet contains Efavirenz USP 600 mg.</t>
  </si>
  <si>
    <t>2017-07-20 14:19:53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</si>
  <si>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</si>
  <si>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</si>
  <si>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</si>
  <si>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</si>
  <si>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</si>
  <si>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</si>
  <si>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</si>
  <si>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</si>
  <si>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</si>
  <si>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</si>
  <si>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</si>
  <si>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</si>
  <si>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</si>
  <si>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</si>
  <si>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</si>
  <si>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</si>
  <si>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</si>
  <si>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</si>
  <si>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</si>
  <si>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</si>
  <si>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</si>
  <si>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</si>
  <si>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</si>
  <si>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</si>
  <si>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</si>
  <si>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</si>
  <si>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</si>
  <si>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</si>
  <si>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</si>
  <si>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</si>
  <si>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</si>
  <si>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</si>
  <si>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</si>
  <si>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</si>
  <si>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</si>
  <si>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</si>
  <si>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</si>
  <si>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</si>
  <si>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</si>
  <si>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</si>
  <si>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</si>
  <si>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</si>
  <si>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</si>
  <si>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</si>
  <si>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</si>
  <si>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</si>
  <si>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</si>
  <si>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</si>
  <si>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</si>
  <si>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</si>
  <si>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</si>
  <si>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</si>
  <si>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</si>
  <si>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</si>
  <si>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</si>
  <si>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</si>
  <si>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</si>
  <si>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</si>
  <si>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</si>
  <si>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</si>
  <si>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</si>
  <si>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</si>
  <si>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</si>
  <si>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</si>
  <si>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</si>
  <si>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</si>
  <si>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</si>
  <si>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</si>
  <si>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</si>
  <si>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</si>
  <si>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</si>
  <si>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</si>
  <si>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</si>
  <si>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</si>
  <si>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</si>
  <si>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</si>
  <si>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</si>
  <si>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</si>
  <si>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</si>
  <si>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</si>
  <si>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</si>
  <si>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</si>
  <si>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</si>
  <si>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</si>
  <si>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</si>
  <si>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</si>
  <si>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</si>
  <si>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</si>
  <si>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</si>
  <si>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</si>
  <si>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</si>
  <si>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</si>
  <si>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</si>
  <si>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</si>
  <si>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</si>
  <si>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</si>
  <si>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</si>
  <si>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</si>
  <si>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</si>
  <si>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</si>
  <si>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</si>
  <si>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</si>
  <si>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</si>
  <si>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</si>
  <si>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</si>
  <si>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</si>
  <si>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</si>
  <si>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</si>
  <si>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</si>
  <si>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</si>
  <si>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</si>
  <si>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</si>
  <si>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</si>
  <si>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</si>
  <si>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</si>
  <si>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</si>
  <si>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</si>
  <si>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</si>
  <si>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EFAVIRENZ TABLETS 600 MG</t>
  </si>
  <si>
    <t>EFFAVIRENZ</t>
  </si>
  <si>
    <t>2017-07-20 14:04:28</t>
  </si>
  <si>
    <t>Each film coated tablet contains: Efavirenz 600 mg.</t>
  </si>
  <si>
    <t>EFAVIRENZ TABLETS 600 mg</t>
  </si>
  <si>
    <t>NQCL-WRS-E15-6 (E04/04)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</si>
</sst>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0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71" fontId="13" fillId="3" borderId="13" xfId="1" applyNumberFormat="1" applyFont="1" applyFill="1" applyBorder="1" applyAlignment="1" applyProtection="1">
      <alignment horizontal="center"/>
      <protection locked="0"/>
    </xf>
    <xf numFmtId="171" fontId="13" fillId="3" borderId="14" xfId="1" applyNumberFormat="1" applyFont="1" applyFill="1" applyBorder="1" applyAlignment="1" applyProtection="1">
      <alignment horizontal="center"/>
      <protection locked="0"/>
    </xf>
    <xf numFmtId="171" fontId="13" fillId="3" borderId="15" xfId="1" applyNumberFormat="1" applyFont="1" applyFill="1" applyBorder="1" applyAlignment="1" applyProtection="1">
      <alignment horizontal="center"/>
      <protection locked="0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0" xfId="1" applyFont="1" applyFill="1" applyBorder="1" applyAlignment="1">
      <alignment horizontal="center"/>
    </xf>
    <xf numFmtId="0" fontId="12" fillId="2" borderId="43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6" fillId="3" borderId="0" xfId="0" applyFont="1" applyFill="1" applyAlignment="1" applyProtection="1">
      <alignment horizontal="left"/>
      <protection locked="0"/>
    </xf>
    <xf numFmtId="166" fontId="12" fillId="6" borderId="49" xfId="1" applyNumberFormat="1" applyFont="1" applyFill="1" applyBorder="1" applyAlignment="1">
      <alignment horizontal="center"/>
    </xf>
    <xf numFmtId="166" fontId="12" fillId="6" borderId="50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E1" zoomScale="60" zoomScaleNormal="40" zoomScalePageLayoutView="42" workbookViewId="0">
      <selection activeCell="H105" sqref="H105"/>
    </sheetView>
  </sheetViews>
  <sheetFormatPr defaultColWidth="9.109375" defaultRowHeight="13.8" x14ac:dyDescent="0.3"/>
  <cols>
    <col min="1" max="1" width="55.44140625" style="49" customWidth="1"/>
    <col min="2" max="2" width="33.6640625" style="49" customWidth="1"/>
    <col min="3" max="3" width="42.33203125" style="49" customWidth="1"/>
    <col min="4" max="4" width="30.5546875" style="49" customWidth="1"/>
    <col min="5" max="5" width="39.88671875" style="49" customWidth="1"/>
    <col min="6" max="6" width="30.6640625" style="49" customWidth="1"/>
    <col min="7" max="7" width="39.88671875" style="49" customWidth="1"/>
    <col min="8" max="8" width="30" style="49" customWidth="1"/>
    <col min="9" max="9" width="30.33203125" style="49" hidden="1" customWidth="1"/>
    <col min="10" max="10" width="30.44140625" style="49" customWidth="1"/>
    <col min="11" max="11" width="21.33203125" style="49" customWidth="1"/>
    <col min="12" max="12" width="9.109375" style="49"/>
    <col min="13" max="16384" width="9.109375" style="85"/>
  </cols>
  <sheetData>
    <row r="1" spans="1:9" ht="18.75" customHeight="1" x14ac:dyDescent="0.3">
      <c r="A1" s="286" t="s">
        <v>45</v>
      </c>
      <c r="B1" s="286"/>
      <c r="C1" s="286"/>
      <c r="D1" s="286"/>
      <c r="E1" s="286"/>
      <c r="F1" s="286"/>
      <c r="G1" s="286"/>
      <c r="H1" s="286"/>
      <c r="I1" s="286"/>
    </row>
    <row r="2" spans="1:9" ht="18.75" customHeight="1" x14ac:dyDescent="0.3">
      <c r="A2" s="286"/>
      <c r="B2" s="286"/>
      <c r="C2" s="286"/>
      <c r="D2" s="286"/>
      <c r="E2" s="286"/>
      <c r="F2" s="286"/>
      <c r="G2" s="286"/>
      <c r="H2" s="286"/>
      <c r="I2" s="286"/>
    </row>
    <row r="3" spans="1:9" ht="18.75" customHeight="1" x14ac:dyDescent="0.3">
      <c r="A3" s="286"/>
      <c r="B3" s="286"/>
      <c r="C3" s="286"/>
      <c r="D3" s="286"/>
      <c r="E3" s="286"/>
      <c r="F3" s="286"/>
      <c r="G3" s="286"/>
      <c r="H3" s="286"/>
      <c r="I3" s="286"/>
    </row>
    <row r="4" spans="1:9" ht="18.75" customHeight="1" x14ac:dyDescent="0.3">
      <c r="A4" s="286"/>
      <c r="B4" s="286"/>
      <c r="C4" s="286"/>
      <c r="D4" s="286"/>
      <c r="E4" s="286"/>
      <c r="F4" s="286"/>
      <c r="G4" s="286"/>
      <c r="H4" s="286"/>
      <c r="I4" s="286"/>
    </row>
    <row r="5" spans="1:9" ht="18.75" customHeight="1" x14ac:dyDescent="0.3">
      <c r="A5" s="286"/>
      <c r="B5" s="286"/>
      <c r="C5" s="286"/>
      <c r="D5" s="286"/>
      <c r="E5" s="286"/>
      <c r="F5" s="286"/>
      <c r="G5" s="286"/>
      <c r="H5" s="286"/>
      <c r="I5" s="286"/>
    </row>
    <row r="6" spans="1:9" ht="18.75" customHeight="1" x14ac:dyDescent="0.3">
      <c r="A6" s="286"/>
      <c r="B6" s="286"/>
      <c r="C6" s="286"/>
      <c r="D6" s="286"/>
      <c r="E6" s="286"/>
      <c r="F6" s="286"/>
      <c r="G6" s="286"/>
      <c r="H6" s="286"/>
      <c r="I6" s="286"/>
    </row>
    <row r="7" spans="1:9" ht="18.75" customHeight="1" x14ac:dyDescent="0.3">
      <c r="A7" s="286"/>
      <c r="B7" s="286"/>
      <c r="C7" s="286"/>
      <c r="D7" s="286"/>
      <c r="E7" s="286"/>
      <c r="F7" s="286"/>
      <c r="G7" s="286"/>
      <c r="H7" s="286"/>
      <c r="I7" s="286"/>
    </row>
    <row r="8" spans="1:9" x14ac:dyDescent="0.3">
      <c r="A8" s="287" t="s">
        <v>46</v>
      </c>
      <c r="B8" s="287"/>
      <c r="C8" s="287"/>
      <c r="D8" s="287"/>
      <c r="E8" s="287"/>
      <c r="F8" s="287"/>
      <c r="G8" s="287"/>
      <c r="H8" s="287"/>
      <c r="I8" s="287"/>
    </row>
    <row r="9" spans="1:9" x14ac:dyDescent="0.3">
      <c r="A9" s="287"/>
      <c r="B9" s="287"/>
      <c r="C9" s="287"/>
      <c r="D9" s="287"/>
      <c r="E9" s="287"/>
      <c r="F9" s="287"/>
      <c r="G9" s="287"/>
      <c r="H9" s="287"/>
      <c r="I9" s="287"/>
    </row>
    <row r="10" spans="1:9" x14ac:dyDescent="0.3">
      <c r="A10" s="287"/>
      <c r="B10" s="287"/>
      <c r="C10" s="287"/>
      <c r="D10" s="287"/>
      <c r="E10" s="287"/>
      <c r="F10" s="287"/>
      <c r="G10" s="287"/>
      <c r="H10" s="287"/>
      <c r="I10" s="287"/>
    </row>
    <row r="11" spans="1:9" x14ac:dyDescent="0.3">
      <c r="A11" s="287"/>
      <c r="B11" s="287"/>
      <c r="C11" s="287"/>
      <c r="D11" s="287"/>
      <c r="E11" s="287"/>
      <c r="F11" s="287"/>
      <c r="G11" s="287"/>
      <c r="H11" s="287"/>
      <c r="I11" s="287"/>
    </row>
    <row r="12" spans="1:9" x14ac:dyDescent="0.3">
      <c r="A12" s="287"/>
      <c r="B12" s="287"/>
      <c r="C12" s="287"/>
      <c r="D12" s="287"/>
      <c r="E12" s="287"/>
      <c r="F12" s="287"/>
      <c r="G12" s="287"/>
      <c r="H12" s="287"/>
      <c r="I12" s="287"/>
    </row>
    <row r="13" spans="1:9" x14ac:dyDescent="0.3">
      <c r="A13" s="287"/>
      <c r="B13" s="287"/>
      <c r="C13" s="287"/>
      <c r="D13" s="287"/>
      <c r="E13" s="287"/>
      <c r="F13" s="287"/>
      <c r="G13" s="287"/>
      <c r="H13" s="287"/>
      <c r="I13" s="287"/>
    </row>
    <row r="14" spans="1:9" x14ac:dyDescent="0.3">
      <c r="A14" s="287"/>
      <c r="B14" s="287"/>
      <c r="C14" s="287"/>
      <c r="D14" s="287"/>
      <c r="E14" s="287"/>
      <c r="F14" s="287"/>
      <c r="G14" s="287"/>
      <c r="H14" s="287"/>
      <c r="I14" s="287"/>
    </row>
    <row r="15" spans="1:9" ht="19.5" customHeight="1" thickBot="1" x14ac:dyDescent="0.4">
      <c r="A15" s="92"/>
    </row>
    <row r="16" spans="1:9" ht="19.5" customHeight="1" thickBot="1" x14ac:dyDescent="0.4">
      <c r="A16" s="288" t="s">
        <v>31</v>
      </c>
      <c r="B16" s="289"/>
      <c r="C16" s="289"/>
      <c r="D16" s="289"/>
      <c r="E16" s="289"/>
      <c r="F16" s="289"/>
      <c r="G16" s="289"/>
      <c r="H16" s="290"/>
    </row>
    <row r="17" spans="1:14" ht="20.25" customHeight="1" x14ac:dyDescent="0.3">
      <c r="A17" s="291" t="s">
        <v>47</v>
      </c>
      <c r="B17" s="291"/>
      <c r="C17" s="291"/>
      <c r="D17" s="291"/>
      <c r="E17" s="291"/>
      <c r="F17" s="291"/>
      <c r="G17" s="291"/>
      <c r="H17" s="291"/>
    </row>
    <row r="18" spans="1:14" ht="26.25" customHeight="1" x14ac:dyDescent="0.5">
      <c r="A18" s="93" t="s">
        <v>33</v>
      </c>
      <c r="B18" s="285" t="s">
        <v>135</v>
      </c>
      <c r="C18" s="285"/>
      <c r="D18" s="94"/>
      <c r="E18" s="95"/>
      <c r="F18" s="96"/>
      <c r="G18" s="96"/>
      <c r="H18" s="96"/>
    </row>
    <row r="19" spans="1:14" ht="26.25" customHeight="1" x14ac:dyDescent="0.5">
      <c r="A19" s="93" t="s">
        <v>34</v>
      </c>
      <c r="B19" s="97" t="s">
        <v>7</v>
      </c>
      <c r="C19" s="96">
        <v>1</v>
      </c>
      <c r="D19" s="96"/>
      <c r="E19" s="96"/>
      <c r="F19" s="96"/>
      <c r="G19" s="96"/>
      <c r="H19" s="96"/>
    </row>
    <row r="20" spans="1:14" ht="26.25" customHeight="1" x14ac:dyDescent="0.5">
      <c r="A20" s="93" t="s">
        <v>35</v>
      </c>
      <c r="B20" s="284" t="s">
        <v>9</v>
      </c>
      <c r="C20" s="284"/>
      <c r="D20" s="96"/>
      <c r="E20" s="96"/>
      <c r="F20" s="96"/>
      <c r="G20" s="96"/>
      <c r="H20" s="96"/>
    </row>
    <row r="21" spans="1:14" ht="26.25" customHeight="1" x14ac:dyDescent="0.5">
      <c r="A21" s="93" t="s">
        <v>36</v>
      </c>
      <c r="B21" s="284" t="s">
        <v>134</v>
      </c>
      <c r="C21" s="284"/>
      <c r="D21" s="284"/>
      <c r="E21" s="284"/>
      <c r="F21" s="284"/>
      <c r="G21" s="284"/>
      <c r="H21" s="284"/>
      <c r="I21" s="98"/>
    </row>
    <row r="22" spans="1:14" ht="26.25" customHeight="1" x14ac:dyDescent="0.5">
      <c r="A22" s="93" t="s">
        <v>37</v>
      </c>
      <c r="B22" s="99" t="s">
        <v>133</v>
      </c>
      <c r="C22" s="96"/>
      <c r="D22" s="96"/>
      <c r="E22" s="96"/>
      <c r="F22" s="96"/>
      <c r="G22" s="96"/>
      <c r="H22" s="96"/>
    </row>
    <row r="23" spans="1:14" ht="26.25" customHeight="1" x14ac:dyDescent="0.5">
      <c r="A23" s="93" t="s">
        <v>38</v>
      </c>
      <c r="B23" s="99"/>
      <c r="C23" s="96"/>
      <c r="D23" s="96"/>
      <c r="E23" s="96"/>
      <c r="F23" s="96"/>
      <c r="G23" s="96"/>
      <c r="H23" s="96"/>
    </row>
    <row r="24" spans="1:14" ht="18" x14ac:dyDescent="0.35">
      <c r="A24" s="93"/>
      <c r="B24" s="100"/>
    </row>
    <row r="25" spans="1:14" ht="18" x14ac:dyDescent="0.35">
      <c r="A25" s="101" t="s">
        <v>1</v>
      </c>
      <c r="B25" s="100"/>
    </row>
    <row r="26" spans="1:14" ht="26.25" customHeight="1" x14ac:dyDescent="0.45">
      <c r="A26" s="102" t="s">
        <v>4</v>
      </c>
      <c r="B26" s="285" t="s">
        <v>9</v>
      </c>
      <c r="C26" s="285"/>
    </row>
    <row r="27" spans="1:14" ht="26.25" customHeight="1" x14ac:dyDescent="0.45">
      <c r="A27" s="103" t="s">
        <v>48</v>
      </c>
      <c r="B27" s="302" t="s">
        <v>136</v>
      </c>
      <c r="C27" s="302"/>
    </row>
    <row r="28" spans="1:14" ht="27" customHeight="1" thickBot="1" x14ac:dyDescent="0.5">
      <c r="A28" s="103" t="s">
        <v>6</v>
      </c>
      <c r="B28" s="104">
        <v>97.21</v>
      </c>
    </row>
    <row r="29" spans="1:14" s="59" customFormat="1" ht="27" customHeight="1" thickBot="1" x14ac:dyDescent="0.55000000000000004">
      <c r="A29" s="103" t="s">
        <v>49</v>
      </c>
      <c r="B29" s="105">
        <v>0</v>
      </c>
      <c r="C29" s="264" t="s">
        <v>50</v>
      </c>
      <c r="D29" s="265"/>
      <c r="E29" s="265"/>
      <c r="F29" s="265"/>
      <c r="G29" s="266"/>
      <c r="I29" s="106"/>
      <c r="J29" s="106"/>
      <c r="K29" s="106"/>
      <c r="L29" s="106"/>
    </row>
    <row r="30" spans="1:14" s="59" customFormat="1" ht="19.5" customHeight="1" thickBot="1" x14ac:dyDescent="0.4">
      <c r="A30" s="103" t="s">
        <v>51</v>
      </c>
      <c r="B30" s="107">
        <f>B28-B29</f>
        <v>97.21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 x14ac:dyDescent="0.5">
      <c r="A31" s="103" t="s">
        <v>52</v>
      </c>
      <c r="B31" s="110">
        <v>1</v>
      </c>
      <c r="C31" s="267" t="s">
        <v>53</v>
      </c>
      <c r="D31" s="268"/>
      <c r="E31" s="268"/>
      <c r="F31" s="268"/>
      <c r="G31" s="268"/>
      <c r="H31" s="269"/>
      <c r="I31" s="106"/>
      <c r="J31" s="106"/>
      <c r="K31" s="106"/>
      <c r="L31" s="106"/>
    </row>
    <row r="32" spans="1:14" s="59" customFormat="1" ht="27" customHeight="1" thickBot="1" x14ac:dyDescent="0.5">
      <c r="A32" s="103" t="s">
        <v>54</v>
      </c>
      <c r="B32" s="110">
        <v>1</v>
      </c>
      <c r="C32" s="267" t="s">
        <v>55</v>
      </c>
      <c r="D32" s="268"/>
      <c r="E32" s="268"/>
      <c r="F32" s="268"/>
      <c r="G32" s="268"/>
      <c r="H32" s="269"/>
      <c r="I32" s="106"/>
      <c r="J32" s="106"/>
      <c r="K32" s="106"/>
      <c r="L32" s="111"/>
      <c r="M32" s="111"/>
      <c r="N32" s="112"/>
    </row>
    <row r="33" spans="1:14" s="59" customFormat="1" ht="17.25" customHeight="1" x14ac:dyDescent="0.35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" x14ac:dyDescent="0.35">
      <c r="A34" s="103" t="s">
        <v>56</v>
      </c>
      <c r="B34" s="115">
        <f>B31/B32</f>
        <v>1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 x14ac:dyDescent="0.4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 x14ac:dyDescent="0.5">
      <c r="A36" s="116" t="s">
        <v>58</v>
      </c>
      <c r="B36" s="117">
        <v>50</v>
      </c>
      <c r="C36" s="92"/>
      <c r="D36" s="270" t="s">
        <v>59</v>
      </c>
      <c r="E36" s="282"/>
      <c r="F36" s="270" t="s">
        <v>60</v>
      </c>
      <c r="G36" s="271"/>
      <c r="J36" s="106"/>
      <c r="K36" s="106"/>
      <c r="L36" s="111"/>
      <c r="M36" s="111"/>
      <c r="N36" s="112"/>
    </row>
    <row r="37" spans="1:14" s="59" customFormat="1" ht="27" customHeight="1" thickBot="1" x14ac:dyDescent="0.5">
      <c r="A37" s="118" t="s">
        <v>61</v>
      </c>
      <c r="B37" s="119">
        <v>1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59" customFormat="1" ht="26.25" customHeight="1" x14ac:dyDescent="0.45">
      <c r="A38" s="118" t="s">
        <v>66</v>
      </c>
      <c r="B38" s="119">
        <v>1</v>
      </c>
      <c r="C38" s="125">
        <v>1</v>
      </c>
      <c r="D38" s="126">
        <v>66226177</v>
      </c>
      <c r="E38" s="127">
        <f>IF(ISBLANK(D38),"-",$D$48/$D$45*D38)</f>
        <v>60200516.653210744</v>
      </c>
      <c r="F38" s="126">
        <v>68214093</v>
      </c>
      <c r="G38" s="128">
        <f>IF(ISBLANK(F38),"-",$D$48/$F$45*F38)</f>
        <v>59133614.06846524</v>
      </c>
      <c r="I38" s="129"/>
      <c r="J38" s="106"/>
      <c r="K38" s="106"/>
      <c r="L38" s="111"/>
      <c r="M38" s="111"/>
      <c r="N38" s="112"/>
    </row>
    <row r="39" spans="1:14" s="59" customFormat="1" ht="26.25" customHeight="1" x14ac:dyDescent="0.45">
      <c r="A39" s="118" t="s">
        <v>67</v>
      </c>
      <c r="B39" s="119">
        <v>1</v>
      </c>
      <c r="C39" s="130">
        <v>2</v>
      </c>
      <c r="D39" s="131">
        <v>66256245</v>
      </c>
      <c r="E39" s="132">
        <f>IF(ISBLANK(D39),"-",$D$48/$D$45*D39)</f>
        <v>60227848.883708186</v>
      </c>
      <c r="F39" s="131">
        <v>68393992</v>
      </c>
      <c r="G39" s="133">
        <f>IF(ISBLANK(F39),"-",$D$48/$F$45*F39)</f>
        <v>59289565.391270377</v>
      </c>
      <c r="I39" s="252">
        <f>ABS((F43/D43*D42)-F42)/D42</f>
        <v>1.6095878448811496E-2</v>
      </c>
      <c r="J39" s="106"/>
      <c r="K39" s="106"/>
      <c r="L39" s="111"/>
      <c r="M39" s="111"/>
      <c r="N39" s="112"/>
    </row>
    <row r="40" spans="1:14" ht="26.25" customHeight="1" x14ac:dyDescent="0.45">
      <c r="A40" s="118" t="s">
        <v>68</v>
      </c>
      <c r="B40" s="119">
        <v>1</v>
      </c>
      <c r="C40" s="130">
        <v>3</v>
      </c>
      <c r="D40" s="131">
        <v>66028483</v>
      </c>
      <c r="E40" s="132">
        <f>IF(ISBLANK(D40),"-",$D$48/$D$45*D40)</f>
        <v>60020810.055633172</v>
      </c>
      <c r="F40" s="131">
        <v>68355418</v>
      </c>
      <c r="G40" s="133">
        <f>IF(ISBLANK(F40),"-",$D$48/$F$45*F40)</f>
        <v>59256126.259724982</v>
      </c>
      <c r="I40" s="252"/>
      <c r="L40" s="111"/>
      <c r="M40" s="111"/>
      <c r="N40" s="92"/>
    </row>
    <row r="41" spans="1:14" ht="27" customHeight="1" thickBot="1" x14ac:dyDescent="0.5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 x14ac:dyDescent="0.5">
      <c r="A42" s="118" t="s">
        <v>70</v>
      </c>
      <c r="B42" s="119">
        <v>1</v>
      </c>
      <c r="C42" s="139" t="s">
        <v>71</v>
      </c>
      <c r="D42" s="140">
        <f>AVERAGE(D38:D41)</f>
        <v>66170301.666666664</v>
      </c>
      <c r="E42" s="141">
        <f>AVERAGE(E38:E41)</f>
        <v>60149725.197517373</v>
      </c>
      <c r="F42" s="140">
        <f>AVERAGE(F38:F41)</f>
        <v>68321167.666666672</v>
      </c>
      <c r="G42" s="142">
        <f>AVERAGE(G38:G41)</f>
        <v>59226435.239820205</v>
      </c>
      <c r="H42" s="83"/>
    </row>
    <row r="43" spans="1:14" ht="26.25" customHeight="1" x14ac:dyDescent="0.45">
      <c r="A43" s="118" t="s">
        <v>72</v>
      </c>
      <c r="B43" s="119">
        <v>1</v>
      </c>
      <c r="C43" s="143" t="s">
        <v>73</v>
      </c>
      <c r="D43" s="144">
        <v>13.58</v>
      </c>
      <c r="E43" s="92"/>
      <c r="F43" s="144">
        <v>14.24</v>
      </c>
      <c r="H43" s="83"/>
    </row>
    <row r="44" spans="1:14" ht="26.25" customHeight="1" x14ac:dyDescent="0.45">
      <c r="A44" s="118" t="s">
        <v>74</v>
      </c>
      <c r="B44" s="119">
        <v>1</v>
      </c>
      <c r="C44" s="145" t="s">
        <v>75</v>
      </c>
      <c r="D44" s="146">
        <f>D43*$B$34</f>
        <v>13.58</v>
      </c>
      <c r="E44" s="147"/>
      <c r="F44" s="146">
        <f>F43*$B$34</f>
        <v>14.24</v>
      </c>
      <c r="H44" s="83"/>
    </row>
    <row r="45" spans="1:14" ht="19.5" customHeight="1" thickBot="1" x14ac:dyDescent="0.4">
      <c r="A45" s="118" t="s">
        <v>76</v>
      </c>
      <c r="B45" s="130">
        <f>(B44/B43)*(B42/B41)*(B40/B39)*(B38/B37)*B36</f>
        <v>50</v>
      </c>
      <c r="C45" s="145" t="s">
        <v>77</v>
      </c>
      <c r="D45" s="148">
        <f>D44*$B$30/100</f>
        <v>13.201117999999999</v>
      </c>
      <c r="E45" s="149"/>
      <c r="F45" s="148">
        <f>F44*$B$30/100</f>
        <v>13.842703999999999</v>
      </c>
      <c r="H45" s="83"/>
    </row>
    <row r="46" spans="1:14" ht="19.5" customHeight="1" thickBot="1" x14ac:dyDescent="0.4">
      <c r="A46" s="253" t="s">
        <v>78</v>
      </c>
      <c r="B46" s="257"/>
      <c r="C46" s="145" t="s">
        <v>79</v>
      </c>
      <c r="D46" s="150">
        <f>D45/$B$45</f>
        <v>0.26402236000000001</v>
      </c>
      <c r="E46" s="151"/>
      <c r="F46" s="152">
        <f>F45/$B$45</f>
        <v>0.27685408</v>
      </c>
      <c r="H46" s="83"/>
    </row>
    <row r="47" spans="1:14" ht="27" customHeight="1" thickBot="1" x14ac:dyDescent="0.5">
      <c r="A47" s="255"/>
      <c r="B47" s="258"/>
      <c r="C47" s="153" t="s">
        <v>80</v>
      </c>
      <c r="D47" s="154">
        <v>0.24</v>
      </c>
      <c r="E47" s="155"/>
      <c r="F47" s="151"/>
      <c r="H47" s="83"/>
    </row>
    <row r="48" spans="1:14" ht="18" x14ac:dyDescent="0.35">
      <c r="C48" s="156" t="s">
        <v>81</v>
      </c>
      <c r="D48" s="148">
        <f>D47*$B$45</f>
        <v>12</v>
      </c>
      <c r="F48" s="157"/>
      <c r="H48" s="83"/>
    </row>
    <row r="49" spans="1:12" ht="19.5" customHeight="1" thickBot="1" x14ac:dyDescent="0.4">
      <c r="C49" s="158" t="s">
        <v>82</v>
      </c>
      <c r="D49" s="159">
        <f>D48/B34</f>
        <v>12</v>
      </c>
      <c r="F49" s="157"/>
      <c r="H49" s="83"/>
    </row>
    <row r="50" spans="1:12" ht="18" x14ac:dyDescent="0.35">
      <c r="C50" s="116" t="s">
        <v>83</v>
      </c>
      <c r="D50" s="160">
        <f>AVERAGE(E38:E41,G38:G41)</f>
        <v>59688080.218668789</v>
      </c>
      <c r="F50" s="161"/>
      <c r="H50" s="83"/>
    </row>
    <row r="51" spans="1:12" ht="18" x14ac:dyDescent="0.35">
      <c r="C51" s="118" t="s">
        <v>84</v>
      </c>
      <c r="D51" s="162">
        <f>STDEV(E38:E41,G38:G41)/D50</f>
        <v>8.6000235991870993E-3</v>
      </c>
      <c r="F51" s="161"/>
      <c r="H51" s="83"/>
    </row>
    <row r="52" spans="1:12" ht="19.5" customHeight="1" thickBot="1" x14ac:dyDescent="0.4">
      <c r="C52" s="163" t="s">
        <v>20</v>
      </c>
      <c r="D52" s="164">
        <f>COUNT(E38:E41,G38:G41)</f>
        <v>6</v>
      </c>
      <c r="F52" s="161"/>
    </row>
    <row r="54" spans="1:12" ht="18" x14ac:dyDescent="0.35">
      <c r="A54" s="165" t="s">
        <v>1</v>
      </c>
      <c r="B54" s="166" t="s">
        <v>85</v>
      </c>
    </row>
    <row r="55" spans="1:12" ht="18" x14ac:dyDescent="0.35">
      <c r="A55" s="92" t="s">
        <v>86</v>
      </c>
      <c r="B55" s="167" t="str">
        <f>B21</f>
        <v>Each film coated tablet contains: Efavirenz 600 mg.</v>
      </c>
    </row>
    <row r="56" spans="1:12" ht="26.25" customHeight="1" x14ac:dyDescent="0.45">
      <c r="A56" s="167" t="s">
        <v>87</v>
      </c>
      <c r="B56" s="168">
        <v>600</v>
      </c>
      <c r="C56" s="92" t="str">
        <f>B20</f>
        <v>EFAVIRENZ</v>
      </c>
      <c r="H56" s="147"/>
    </row>
    <row r="57" spans="1:12" ht="18" x14ac:dyDescent="0.35">
      <c r="A57" s="167" t="s">
        <v>88</v>
      </c>
      <c r="B57" s="169">
        <f>Uniformity!C46</f>
        <v>1219.4455</v>
      </c>
      <c r="H57" s="147"/>
    </row>
    <row r="58" spans="1:12" ht="19.5" customHeight="1" thickBot="1" x14ac:dyDescent="0.4">
      <c r="H58" s="147"/>
    </row>
    <row r="59" spans="1:12" s="59" customFormat="1" ht="27" customHeight="1" thickBot="1" x14ac:dyDescent="0.5">
      <c r="A59" s="116" t="s">
        <v>89</v>
      </c>
      <c r="B59" s="117">
        <v>250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59" customFormat="1" ht="26.25" customHeight="1" x14ac:dyDescent="0.45">
      <c r="A60" s="118" t="s">
        <v>93</v>
      </c>
      <c r="B60" s="119">
        <v>10</v>
      </c>
      <c r="C60" s="276" t="s">
        <v>94</v>
      </c>
      <c r="D60" s="279">
        <v>1206.44</v>
      </c>
      <c r="E60" s="172">
        <v>1</v>
      </c>
      <c r="F60" s="173">
        <v>56689312</v>
      </c>
      <c r="G60" s="174">
        <f>IF(ISBLANK(F60),"-",(F60/$D$50*$D$47*$B$68)*($B$57/$D$60))</f>
        <v>575.99868699600449</v>
      </c>
      <c r="H60" s="175">
        <f t="shared" ref="H60:H71" si="0">IF(ISBLANK(F60),"-",(G60/$B$56)*100)</f>
        <v>95.999781166000759</v>
      </c>
      <c r="L60" s="106"/>
    </row>
    <row r="61" spans="1:12" s="59" customFormat="1" ht="26.25" customHeight="1" x14ac:dyDescent="0.45">
      <c r="A61" s="118" t="s">
        <v>95</v>
      </c>
      <c r="B61" s="119">
        <v>100</v>
      </c>
      <c r="C61" s="277"/>
      <c r="D61" s="280"/>
      <c r="E61" s="176">
        <v>2</v>
      </c>
      <c r="F61" s="131">
        <v>56688816</v>
      </c>
      <c r="G61" s="177">
        <f>IF(ISBLANK(F61),"-",(F61/$D$50*$D$47*$B$68)*($B$57/$D$60))</f>
        <v>575.99364732734966</v>
      </c>
      <c r="H61" s="178">
        <f t="shared" si="0"/>
        <v>95.998941221224939</v>
      </c>
      <c r="L61" s="106"/>
    </row>
    <row r="62" spans="1:12" s="59" customFormat="1" ht="26.25" customHeight="1" x14ac:dyDescent="0.45">
      <c r="A62" s="118" t="s">
        <v>96</v>
      </c>
      <c r="B62" s="119">
        <v>1</v>
      </c>
      <c r="C62" s="277"/>
      <c r="D62" s="280"/>
      <c r="E62" s="176">
        <v>3</v>
      </c>
      <c r="F62" s="179">
        <v>56758129</v>
      </c>
      <c r="G62" s="177">
        <f>IF(ISBLANK(F62),"-",(F62/$D$50*$D$47*$B$68)*($B$57/$D$60))</f>
        <v>576.69791053999461</v>
      </c>
      <c r="H62" s="178">
        <f t="shared" si="0"/>
        <v>96.11631842333243</v>
      </c>
      <c r="L62" s="106"/>
    </row>
    <row r="63" spans="1:12" ht="27" customHeight="1" thickBot="1" x14ac:dyDescent="0.5">
      <c r="A63" s="118" t="s">
        <v>97</v>
      </c>
      <c r="B63" s="119">
        <v>1</v>
      </c>
      <c r="C63" s="278"/>
      <c r="D63" s="281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 x14ac:dyDescent="0.45">
      <c r="A64" s="118" t="s">
        <v>98</v>
      </c>
      <c r="B64" s="119">
        <v>1</v>
      </c>
      <c r="C64" s="276" t="s">
        <v>99</v>
      </c>
      <c r="D64" s="279">
        <v>1224.53</v>
      </c>
      <c r="E64" s="172">
        <v>1</v>
      </c>
      <c r="F64" s="173">
        <v>57089693</v>
      </c>
      <c r="G64" s="174">
        <f>IF(ISBLANK(F64),"-",(F64/$D$50*$D$47*$B$68)*($B$57/$D$64))</f>
        <v>571.49747149331643</v>
      </c>
      <c r="H64" s="175">
        <f t="shared" si="0"/>
        <v>95.249578582219414</v>
      </c>
    </row>
    <row r="65" spans="1:8" ht="26.25" customHeight="1" x14ac:dyDescent="0.45">
      <c r="A65" s="118" t="s">
        <v>100</v>
      </c>
      <c r="B65" s="119">
        <v>1</v>
      </c>
      <c r="C65" s="277"/>
      <c r="D65" s="280"/>
      <c r="E65" s="176">
        <v>2</v>
      </c>
      <c r="F65" s="131">
        <v>56155099</v>
      </c>
      <c r="G65" s="177">
        <f>IF(ISBLANK(F65),"-",(F65/$D$50*$D$47*$B$68)*($B$57/$D$64))</f>
        <v>562.14170025326416</v>
      </c>
      <c r="H65" s="178">
        <f t="shared" si="0"/>
        <v>93.690283375544027</v>
      </c>
    </row>
    <row r="66" spans="1:8" ht="26.25" customHeight="1" x14ac:dyDescent="0.45">
      <c r="A66" s="118" t="s">
        <v>101</v>
      </c>
      <c r="B66" s="119">
        <v>1</v>
      </c>
      <c r="C66" s="277"/>
      <c r="D66" s="280"/>
      <c r="E66" s="176">
        <v>3</v>
      </c>
      <c r="F66" s="131">
        <v>56459427</v>
      </c>
      <c r="G66" s="177">
        <f>IF(ISBLANK(F66),"-",(F66/$D$50*$D$47*$B$68)*($B$57/$D$64))</f>
        <v>565.18818155952397</v>
      </c>
      <c r="H66" s="178">
        <f t="shared" si="0"/>
        <v>94.198030259920657</v>
      </c>
    </row>
    <row r="67" spans="1:8" ht="27" customHeight="1" thickBot="1" x14ac:dyDescent="0.5">
      <c r="A67" s="118" t="s">
        <v>102</v>
      </c>
      <c r="B67" s="119">
        <v>1</v>
      </c>
      <c r="C67" s="278"/>
      <c r="D67" s="281"/>
      <c r="E67" s="180">
        <v>4</v>
      </c>
      <c r="F67" s="181"/>
      <c r="G67" s="182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5">
      <c r="A68" s="118" t="s">
        <v>103</v>
      </c>
      <c r="B68" s="184">
        <f>(B67/B66)*(B65/B64)*(B63/B62)*(B61/B60)*B59</f>
        <v>2500</v>
      </c>
      <c r="C68" s="276" t="s">
        <v>104</v>
      </c>
      <c r="D68" s="279">
        <v>1217.1099999999999</v>
      </c>
      <c r="E68" s="172">
        <v>1</v>
      </c>
      <c r="F68" s="173">
        <v>57553099</v>
      </c>
      <c r="G68" s="174">
        <f>IF(ISBLANK(F68),"-",(F68/$D$50*$D$47*$B$68)*($B$57/$D$68))</f>
        <v>579.64876918531183</v>
      </c>
      <c r="H68" s="178">
        <f t="shared" si="0"/>
        <v>96.608128197551963</v>
      </c>
    </row>
    <row r="69" spans="1:8" ht="27" customHeight="1" thickBot="1" x14ac:dyDescent="0.55000000000000004">
      <c r="A69" s="163" t="s">
        <v>105</v>
      </c>
      <c r="B69" s="185">
        <f>(D47*B68)/B56*B57</f>
        <v>1219.4455</v>
      </c>
      <c r="C69" s="277"/>
      <c r="D69" s="280"/>
      <c r="E69" s="176">
        <v>2</v>
      </c>
      <c r="F69" s="131">
        <v>57575847</v>
      </c>
      <c r="G69" s="177">
        <f>IF(ISBLANK(F69),"-",(F69/$D$50*$D$47*$B$68)*($B$57/$D$68))</f>
        <v>579.87787674738115</v>
      </c>
      <c r="H69" s="178">
        <f t="shared" si="0"/>
        <v>96.646312791230187</v>
      </c>
    </row>
    <row r="70" spans="1:8" ht="26.25" customHeight="1" x14ac:dyDescent="0.45">
      <c r="A70" s="272" t="s">
        <v>78</v>
      </c>
      <c r="B70" s="273"/>
      <c r="C70" s="277"/>
      <c r="D70" s="280"/>
      <c r="E70" s="176">
        <v>3</v>
      </c>
      <c r="F70" s="131">
        <v>57510865</v>
      </c>
      <c r="G70" s="177">
        <f>IF(ISBLANK(F70),"-",(F70/$D$50*$D$47*$B$68)*($B$57/$D$68))</f>
        <v>579.22340744905205</v>
      </c>
      <c r="H70" s="178">
        <f t="shared" si="0"/>
        <v>96.537234574842017</v>
      </c>
    </row>
    <row r="71" spans="1:8" ht="27" customHeight="1" thickBot="1" x14ac:dyDescent="0.5">
      <c r="A71" s="274"/>
      <c r="B71" s="275"/>
      <c r="C71" s="283"/>
      <c r="D71" s="281"/>
      <c r="E71" s="180">
        <v>4</v>
      </c>
      <c r="F71" s="181"/>
      <c r="G71" s="182" t="str">
        <f>IF(ISBLANK(F71),"-",(F71/$D$50*$D$47*$B$68)*($B$57/$D$68))</f>
        <v>-</v>
      </c>
      <c r="H71" s="183" t="str">
        <f t="shared" si="0"/>
        <v>-</v>
      </c>
    </row>
    <row r="72" spans="1:8" ht="26.25" customHeight="1" x14ac:dyDescent="0.45">
      <c r="A72" s="147"/>
      <c r="B72" s="147"/>
      <c r="C72" s="147"/>
      <c r="D72" s="147"/>
      <c r="E72" s="147"/>
      <c r="F72" s="186" t="s">
        <v>71</v>
      </c>
      <c r="G72" s="187">
        <f>AVERAGE(G60:G71)</f>
        <v>574.02973906124419</v>
      </c>
      <c r="H72" s="188">
        <f>AVERAGE(H60:H71)</f>
        <v>95.67162317687405</v>
      </c>
    </row>
    <row r="73" spans="1:8" ht="26.25" customHeight="1" x14ac:dyDescent="0.45">
      <c r="C73" s="147"/>
      <c r="D73" s="147"/>
      <c r="E73" s="147"/>
      <c r="F73" s="189" t="s">
        <v>84</v>
      </c>
      <c r="G73" s="190">
        <f>STDEV(G60:G71)/G72</f>
        <v>1.1248030618964511E-2</v>
      </c>
      <c r="H73" s="190">
        <f>STDEV(H60:H71)/H72</f>
        <v>1.1248030618964506E-2</v>
      </c>
    </row>
    <row r="74" spans="1:8" ht="27" customHeight="1" thickBot="1" x14ac:dyDescent="0.5">
      <c r="A74" s="147"/>
      <c r="B74" s="147"/>
      <c r="C74" s="147"/>
      <c r="D74" s="147"/>
      <c r="E74" s="149"/>
      <c r="F74" s="191" t="s">
        <v>20</v>
      </c>
      <c r="G74" s="192">
        <f>COUNT(G60:G71)</f>
        <v>9</v>
      </c>
      <c r="H74" s="192">
        <f>COUNT(H60:H71)</f>
        <v>9</v>
      </c>
    </row>
    <row r="76" spans="1:8" ht="26.25" customHeight="1" x14ac:dyDescent="0.45">
      <c r="A76" s="102" t="s">
        <v>106</v>
      </c>
      <c r="B76" s="103" t="s">
        <v>107</v>
      </c>
      <c r="C76" s="261" t="str">
        <f>B26</f>
        <v>EFAVIRENZ</v>
      </c>
      <c r="D76" s="261"/>
      <c r="E76" s="92" t="s">
        <v>108</v>
      </c>
      <c r="F76" s="92"/>
      <c r="G76" s="193">
        <f>H72</f>
        <v>95.67162317687405</v>
      </c>
      <c r="H76" s="107"/>
    </row>
    <row r="77" spans="1:8" ht="18" x14ac:dyDescent="0.35">
      <c r="A77" s="101" t="s">
        <v>109</v>
      </c>
      <c r="B77" s="101" t="s">
        <v>110</v>
      </c>
    </row>
    <row r="78" spans="1:8" ht="18" x14ac:dyDescent="0.35">
      <c r="A78" s="101"/>
      <c r="B78" s="101"/>
    </row>
    <row r="79" spans="1:8" ht="26.25" customHeight="1" x14ac:dyDescent="0.45">
      <c r="A79" s="102" t="s">
        <v>4</v>
      </c>
      <c r="B79" s="263" t="str">
        <f>B26</f>
        <v>EFAVIRENZ</v>
      </c>
      <c r="C79" s="263"/>
    </row>
    <row r="80" spans="1:8" ht="26.25" customHeight="1" x14ac:dyDescent="0.45">
      <c r="A80" s="103" t="s">
        <v>48</v>
      </c>
      <c r="B80" s="263" t="str">
        <f>B27</f>
        <v>NQCL-WRS-E15-6 (E04/04)</v>
      </c>
      <c r="C80" s="263"/>
    </row>
    <row r="81" spans="1:12" ht="27" customHeight="1" thickBot="1" x14ac:dyDescent="0.5">
      <c r="A81" s="103" t="s">
        <v>6</v>
      </c>
      <c r="B81" s="104">
        <f>B28</f>
        <v>97.21</v>
      </c>
    </row>
    <row r="82" spans="1:12" s="59" customFormat="1" ht="27" customHeight="1" thickBot="1" x14ac:dyDescent="0.55000000000000004">
      <c r="A82" s="103" t="s">
        <v>49</v>
      </c>
      <c r="B82" s="105">
        <v>0</v>
      </c>
      <c r="C82" s="264" t="s">
        <v>50</v>
      </c>
      <c r="D82" s="265"/>
      <c r="E82" s="265"/>
      <c r="F82" s="265"/>
      <c r="G82" s="266"/>
      <c r="I82" s="106"/>
      <c r="J82" s="106"/>
      <c r="K82" s="106"/>
      <c r="L82" s="106"/>
    </row>
    <row r="83" spans="1:12" s="59" customFormat="1" ht="19.5" customHeight="1" thickBot="1" x14ac:dyDescent="0.4">
      <c r="A83" s="103" t="s">
        <v>51</v>
      </c>
      <c r="B83" s="107">
        <f>B81-B82</f>
        <v>97.21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 x14ac:dyDescent="0.5">
      <c r="A84" s="103" t="s">
        <v>52</v>
      </c>
      <c r="B84" s="110">
        <v>1</v>
      </c>
      <c r="C84" s="267" t="s">
        <v>111</v>
      </c>
      <c r="D84" s="268"/>
      <c r="E84" s="268"/>
      <c r="F84" s="268"/>
      <c r="G84" s="268"/>
      <c r="H84" s="269"/>
      <c r="I84" s="106"/>
      <c r="J84" s="106"/>
      <c r="K84" s="106"/>
      <c r="L84" s="106"/>
    </row>
    <row r="85" spans="1:12" s="59" customFormat="1" ht="27" customHeight="1" thickBot="1" x14ac:dyDescent="0.5">
      <c r="A85" s="103" t="s">
        <v>54</v>
      </c>
      <c r="B85" s="110">
        <v>1</v>
      </c>
      <c r="C85" s="267" t="s">
        <v>112</v>
      </c>
      <c r="D85" s="268"/>
      <c r="E85" s="268"/>
      <c r="F85" s="268"/>
      <c r="G85" s="268"/>
      <c r="H85" s="269"/>
      <c r="I85" s="106"/>
      <c r="J85" s="106"/>
      <c r="K85" s="106"/>
      <c r="L85" s="106"/>
    </row>
    <row r="86" spans="1:12" s="59" customFormat="1" ht="18" x14ac:dyDescent="0.35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" x14ac:dyDescent="0.35">
      <c r="A87" s="103" t="s">
        <v>56</v>
      </c>
      <c r="B87" s="115">
        <f>B84/B85</f>
        <v>1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 x14ac:dyDescent="0.4">
      <c r="A88" s="101"/>
      <c r="B88" s="101"/>
    </row>
    <row r="89" spans="1:12" ht="27" customHeight="1" thickBot="1" x14ac:dyDescent="0.5">
      <c r="A89" s="116" t="s">
        <v>58</v>
      </c>
      <c r="B89" s="117">
        <v>100</v>
      </c>
      <c r="D89" s="194" t="s">
        <v>59</v>
      </c>
      <c r="E89" s="195"/>
      <c r="F89" s="270" t="s">
        <v>60</v>
      </c>
      <c r="G89" s="271"/>
    </row>
    <row r="90" spans="1:12" ht="27" customHeight="1" thickBot="1" x14ac:dyDescent="0.5">
      <c r="A90" s="118" t="s">
        <v>61</v>
      </c>
      <c r="B90" s="119">
        <v>5</v>
      </c>
      <c r="C90" s="196" t="s">
        <v>62</v>
      </c>
      <c r="D90" s="121" t="s">
        <v>63</v>
      </c>
      <c r="E90" s="122" t="s">
        <v>64</v>
      </c>
      <c r="F90" s="121" t="s">
        <v>63</v>
      </c>
      <c r="G90" s="197" t="s">
        <v>64</v>
      </c>
      <c r="I90" s="124" t="s">
        <v>65</v>
      </c>
    </row>
    <row r="91" spans="1:12" ht="26.25" customHeight="1" x14ac:dyDescent="0.45">
      <c r="A91" s="118" t="s">
        <v>66</v>
      </c>
      <c r="B91" s="119">
        <v>50</v>
      </c>
      <c r="C91" s="198">
        <v>1</v>
      </c>
      <c r="D91" s="126">
        <v>0.50800000000000001</v>
      </c>
      <c r="E91" s="127">
        <f>IF(ISBLANK(D91),"-",$D$101/$D$98*D91)</f>
        <v>0.62584428920166046</v>
      </c>
      <c r="F91" s="126">
        <v>0.54500000000000004</v>
      </c>
      <c r="G91" s="128">
        <f>IF(ISBLANK(F91),"-",$D$101/$F$98*F91)</f>
        <v>0.61609001018526799</v>
      </c>
      <c r="I91" s="129"/>
    </row>
    <row r="92" spans="1:12" ht="26.25" customHeight="1" x14ac:dyDescent="0.45">
      <c r="A92" s="118" t="s">
        <v>67</v>
      </c>
      <c r="B92" s="119">
        <v>1</v>
      </c>
      <c r="C92" s="147">
        <v>2</v>
      </c>
      <c r="D92" s="131">
        <v>0.50900000000000001</v>
      </c>
      <c r="E92" s="132">
        <f>IF(ISBLANK(D92),"-",$D$101/$D$98*D92)</f>
        <v>0.62707626614890788</v>
      </c>
      <c r="F92" s="131">
        <v>0.54400000000000004</v>
      </c>
      <c r="G92" s="133">
        <f>IF(ISBLANK(F92),"-",$D$101/$F$98*F92)</f>
        <v>0.61495956979960698</v>
      </c>
      <c r="I92" s="252">
        <f>ABS((F96/D96*D95)-F95)/D95</f>
        <v>1.895421754915361E-2</v>
      </c>
    </row>
    <row r="93" spans="1:12" ht="26.25" customHeight="1" x14ac:dyDescent="0.45">
      <c r="A93" s="118" t="s">
        <v>68</v>
      </c>
      <c r="B93" s="119">
        <v>1</v>
      </c>
      <c r="C93" s="147">
        <v>3</v>
      </c>
      <c r="D93" s="131">
        <v>0.50700000000000001</v>
      </c>
      <c r="E93" s="132">
        <f>IF(ISBLANK(D93),"-",$D$101/$D$98*D93)</f>
        <v>0.62461231225441316</v>
      </c>
      <c r="F93" s="131">
        <v>0.54300000000000004</v>
      </c>
      <c r="G93" s="133">
        <f>IF(ISBLANK(F93),"-",$D$101/$F$98*F93)</f>
        <v>0.61382912941394585</v>
      </c>
      <c r="I93" s="252"/>
    </row>
    <row r="94" spans="1:12" ht="27" customHeight="1" thickBot="1" x14ac:dyDescent="0.5">
      <c r="A94" s="118" t="s">
        <v>69</v>
      </c>
      <c r="B94" s="119">
        <v>1</v>
      </c>
      <c r="C94" s="199">
        <v>4</v>
      </c>
      <c r="D94" s="135"/>
      <c r="E94" s="136" t="str">
        <f>IF(ISBLANK(D94),"-",$D$101/$D$98*D94)</f>
        <v>-</v>
      </c>
      <c r="F94" s="200"/>
      <c r="G94" s="137" t="str">
        <f>IF(ISBLANK(F94),"-",$D$101/$F$98*F94)</f>
        <v>-</v>
      </c>
      <c r="I94" s="138"/>
    </row>
    <row r="95" spans="1:12" ht="27" customHeight="1" thickBot="1" x14ac:dyDescent="0.5">
      <c r="A95" s="118" t="s">
        <v>70</v>
      </c>
      <c r="B95" s="119">
        <v>1</v>
      </c>
      <c r="C95" s="103" t="s">
        <v>71</v>
      </c>
      <c r="D95" s="303">
        <f>AVERAGE(D91:D94)</f>
        <v>0.50800000000000001</v>
      </c>
      <c r="E95" s="141">
        <f>AVERAGE(E91:E94)</f>
        <v>0.62584428920166046</v>
      </c>
      <c r="F95" s="304">
        <f>AVERAGE(F91:F94)</f>
        <v>0.54400000000000004</v>
      </c>
      <c r="G95" s="201">
        <f>AVERAGE(G91:G94)</f>
        <v>0.61495956979960686</v>
      </c>
    </row>
    <row r="96" spans="1:12" ht="26.25" customHeight="1" x14ac:dyDescent="0.45">
      <c r="A96" s="118" t="s">
        <v>72</v>
      </c>
      <c r="B96" s="104">
        <v>1</v>
      </c>
      <c r="C96" s="202" t="s">
        <v>113</v>
      </c>
      <c r="D96" s="203">
        <v>10.02</v>
      </c>
      <c r="E96" s="92"/>
      <c r="F96" s="144">
        <v>10.92</v>
      </c>
    </row>
    <row r="97" spans="1:10" ht="26.25" customHeight="1" x14ac:dyDescent="0.45">
      <c r="A97" s="118" t="s">
        <v>74</v>
      </c>
      <c r="B97" s="104">
        <v>1</v>
      </c>
      <c r="C97" s="204" t="s">
        <v>114</v>
      </c>
      <c r="D97" s="205">
        <f>D96*$B$87</f>
        <v>10.02</v>
      </c>
      <c r="E97" s="147"/>
      <c r="F97" s="146">
        <f>F96*$B$87</f>
        <v>10.92</v>
      </c>
    </row>
    <row r="98" spans="1:10" ht="19.5" customHeight="1" thickBot="1" x14ac:dyDescent="0.4">
      <c r="A98" s="118" t="s">
        <v>76</v>
      </c>
      <c r="B98" s="147">
        <f>(B97/B96)*(B95/B94)*(B93/B92)*(B91/B90)*B89</f>
        <v>1000</v>
      </c>
      <c r="C98" s="204" t="s">
        <v>115</v>
      </c>
      <c r="D98" s="206">
        <f>D97*$B$83/100</f>
        <v>9.7404419999999998</v>
      </c>
      <c r="E98" s="149"/>
      <c r="F98" s="148">
        <f>F97*$B$83/100</f>
        <v>10.615331999999999</v>
      </c>
    </row>
    <row r="99" spans="1:10" ht="19.5" customHeight="1" thickBot="1" x14ac:dyDescent="0.4">
      <c r="A99" s="253" t="s">
        <v>78</v>
      </c>
      <c r="B99" s="254"/>
      <c r="C99" s="204" t="s">
        <v>116</v>
      </c>
      <c r="D99" s="207">
        <f>D98/$B$98</f>
        <v>9.7404420000000002E-3</v>
      </c>
      <c r="E99" s="149"/>
      <c r="F99" s="152">
        <f>F98/$B$98</f>
        <v>1.0615331999999998E-2</v>
      </c>
      <c r="H99" s="83"/>
    </row>
    <row r="100" spans="1:10" ht="19.5" customHeight="1" thickBot="1" x14ac:dyDescent="0.4">
      <c r="A100" s="255"/>
      <c r="B100" s="256"/>
      <c r="C100" s="204" t="s">
        <v>80</v>
      </c>
      <c r="D100" s="208">
        <f>$B$56/$B$116</f>
        <v>1.2E-2</v>
      </c>
      <c r="F100" s="157"/>
      <c r="G100" s="209"/>
      <c r="H100" s="83"/>
    </row>
    <row r="101" spans="1:10" ht="18" x14ac:dyDescent="0.35">
      <c r="C101" s="204" t="s">
        <v>81</v>
      </c>
      <c r="D101" s="205">
        <f>D100*$B$98</f>
        <v>12</v>
      </c>
      <c r="F101" s="157"/>
      <c r="H101" s="83"/>
    </row>
    <row r="102" spans="1:10" ht="19.5" customHeight="1" thickBot="1" x14ac:dyDescent="0.4">
      <c r="C102" s="210" t="s">
        <v>82</v>
      </c>
      <c r="D102" s="211">
        <f>D101/B34</f>
        <v>12</v>
      </c>
      <c r="F102" s="161"/>
      <c r="H102" s="83"/>
      <c r="J102" s="212"/>
    </row>
    <row r="103" spans="1:10" ht="18" x14ac:dyDescent="0.35">
      <c r="C103" s="213" t="s">
        <v>117</v>
      </c>
      <c r="D103" s="214">
        <f>AVERAGE(E91:E94,G91:G94)</f>
        <v>0.62040192950063366</v>
      </c>
      <c r="F103" s="161"/>
      <c r="G103" s="209"/>
      <c r="H103" s="83"/>
      <c r="J103" s="215"/>
    </row>
    <row r="104" spans="1:10" ht="18" x14ac:dyDescent="0.35">
      <c r="C104" s="189" t="s">
        <v>84</v>
      </c>
      <c r="D104" s="216">
        <f>STDEV(E91:E94,G91:G94)/D103</f>
        <v>9.7595857206630339E-3</v>
      </c>
      <c r="F104" s="161"/>
      <c r="H104" s="83"/>
      <c r="J104" s="215"/>
    </row>
    <row r="105" spans="1:10" ht="19.5" customHeight="1" thickBot="1" x14ac:dyDescent="0.4">
      <c r="C105" s="191" t="s">
        <v>20</v>
      </c>
      <c r="D105" s="217">
        <f>COUNT(E91:E94,G91:G94)</f>
        <v>6</v>
      </c>
      <c r="F105" s="161"/>
      <c r="H105" s="83"/>
      <c r="J105" s="215"/>
    </row>
    <row r="106" spans="1:10" ht="19.5" customHeight="1" thickBot="1" x14ac:dyDescent="0.4">
      <c r="A106" s="165"/>
      <c r="B106" s="165"/>
      <c r="C106" s="165"/>
      <c r="D106" s="165"/>
      <c r="E106" s="165"/>
    </row>
    <row r="107" spans="1:10" ht="27" customHeight="1" thickBot="1" x14ac:dyDescent="0.5">
      <c r="A107" s="116" t="s">
        <v>118</v>
      </c>
      <c r="B107" s="117">
        <v>1000</v>
      </c>
      <c r="C107" s="171" t="s">
        <v>119</v>
      </c>
      <c r="D107" s="171" t="s">
        <v>63</v>
      </c>
      <c r="E107" s="171" t="s">
        <v>120</v>
      </c>
      <c r="F107" s="218" t="s">
        <v>121</v>
      </c>
    </row>
    <row r="108" spans="1:10" ht="26.25" customHeight="1" x14ac:dyDescent="0.45">
      <c r="A108" s="118" t="s">
        <v>122</v>
      </c>
      <c r="B108" s="119">
        <v>2</v>
      </c>
      <c r="C108" s="172">
        <v>1</v>
      </c>
      <c r="D108" s="249">
        <v>0.56499999999999995</v>
      </c>
      <c r="E108" s="219">
        <f t="shared" ref="E108:E113" si="1">IF(ISBLANK(D108),"-",D108/$D$103*$D$100*$B$116)</f>
        <v>546.41996402697157</v>
      </c>
      <c r="F108" s="220">
        <f t="shared" ref="F108:F113" si="2">IF(ISBLANK(D108), "-", (E108/$B$56)*100)</f>
        <v>91.069994004495257</v>
      </c>
    </row>
    <row r="109" spans="1:10" ht="26.25" customHeight="1" x14ac:dyDescent="0.45">
      <c r="A109" s="118" t="s">
        <v>95</v>
      </c>
      <c r="B109" s="119">
        <v>100</v>
      </c>
      <c r="C109" s="176">
        <v>2</v>
      </c>
      <c r="D109" s="250">
        <v>0.56299999999999994</v>
      </c>
      <c r="E109" s="221">
        <f t="shared" si="1"/>
        <v>544.48573406581409</v>
      </c>
      <c r="F109" s="222">
        <f t="shared" si="2"/>
        <v>90.747622344302343</v>
      </c>
    </row>
    <row r="110" spans="1:10" ht="26.25" customHeight="1" x14ac:dyDescent="0.45">
      <c r="A110" s="118" t="s">
        <v>96</v>
      </c>
      <c r="B110" s="119">
        <v>1</v>
      </c>
      <c r="C110" s="176">
        <v>3</v>
      </c>
      <c r="D110" s="250">
        <v>0.56200000000000006</v>
      </c>
      <c r="E110" s="221">
        <f t="shared" si="1"/>
        <v>543.51861908523551</v>
      </c>
      <c r="F110" s="222">
        <f t="shared" si="2"/>
        <v>90.586436514205914</v>
      </c>
    </row>
    <row r="111" spans="1:10" ht="26.25" customHeight="1" x14ac:dyDescent="0.45">
      <c r="A111" s="118" t="s">
        <v>97</v>
      </c>
      <c r="B111" s="119">
        <v>1</v>
      </c>
      <c r="C111" s="176">
        <v>4</v>
      </c>
      <c r="D111" s="250">
        <v>0.56000000000000005</v>
      </c>
      <c r="E111" s="221">
        <f t="shared" si="1"/>
        <v>541.58438912407814</v>
      </c>
      <c r="F111" s="222">
        <f t="shared" si="2"/>
        <v>90.264064854013029</v>
      </c>
    </row>
    <row r="112" spans="1:10" ht="26.25" customHeight="1" x14ac:dyDescent="0.45">
      <c r="A112" s="118" t="s">
        <v>98</v>
      </c>
      <c r="B112" s="119">
        <v>1</v>
      </c>
      <c r="C112" s="176">
        <v>5</v>
      </c>
      <c r="D112" s="250">
        <v>0.56100000000000005</v>
      </c>
      <c r="E112" s="221">
        <f t="shared" si="1"/>
        <v>542.55150410465683</v>
      </c>
      <c r="F112" s="222">
        <f t="shared" si="2"/>
        <v>90.425250684109471</v>
      </c>
    </row>
    <row r="113" spans="1:10" ht="27" customHeight="1" thickBot="1" x14ac:dyDescent="0.5">
      <c r="A113" s="118" t="s">
        <v>100</v>
      </c>
      <c r="B113" s="119">
        <v>1</v>
      </c>
      <c r="C113" s="180">
        <v>6</v>
      </c>
      <c r="D113" s="251">
        <v>0.56399999999999995</v>
      </c>
      <c r="E113" s="223">
        <f t="shared" si="1"/>
        <v>545.45284904639288</v>
      </c>
      <c r="F113" s="224">
        <f t="shared" si="2"/>
        <v>90.908808174398814</v>
      </c>
    </row>
    <row r="114" spans="1:10" ht="27" customHeight="1" thickBot="1" x14ac:dyDescent="0.5">
      <c r="A114" s="118" t="s">
        <v>101</v>
      </c>
      <c r="B114" s="119">
        <v>1</v>
      </c>
      <c r="C114" s="225"/>
      <c r="D114" s="147"/>
      <c r="E114" s="92"/>
      <c r="F114" s="222"/>
    </row>
    <row r="115" spans="1:10" ht="26.25" customHeight="1" x14ac:dyDescent="0.45">
      <c r="A115" s="118" t="s">
        <v>102</v>
      </c>
      <c r="B115" s="119">
        <v>1</v>
      </c>
      <c r="C115" s="225"/>
      <c r="D115" s="226" t="s">
        <v>71</v>
      </c>
      <c r="E115" s="227">
        <f>AVERAGE(E108:E113)</f>
        <v>544.00217657552491</v>
      </c>
      <c r="F115" s="228">
        <f>AVERAGE(F108:F113)</f>
        <v>90.667029429254129</v>
      </c>
    </row>
    <row r="116" spans="1:10" ht="27" customHeight="1" thickBot="1" x14ac:dyDescent="0.5">
      <c r="A116" s="118" t="s">
        <v>103</v>
      </c>
      <c r="B116" s="130">
        <f>(B115/B114)*(B113/B112)*(B111/B110)*(B109/B108)*B107</f>
        <v>50000</v>
      </c>
      <c r="C116" s="229"/>
      <c r="D116" s="230" t="s">
        <v>84</v>
      </c>
      <c r="E116" s="190">
        <f>STDEV(E108:E113)/E115</f>
        <v>3.3259176771322928E-3</v>
      </c>
      <c r="F116" s="231">
        <f>STDEV(F108:F113)/F115</f>
        <v>3.3259176771322663E-3</v>
      </c>
      <c r="I116" s="92"/>
    </row>
    <row r="117" spans="1:10" ht="27" customHeight="1" thickBot="1" x14ac:dyDescent="0.5">
      <c r="A117" s="253" t="s">
        <v>78</v>
      </c>
      <c r="B117" s="257"/>
      <c r="C117" s="232"/>
      <c r="D117" s="191" t="s">
        <v>20</v>
      </c>
      <c r="E117" s="233">
        <f>COUNT(E108:E113)</f>
        <v>6</v>
      </c>
      <c r="F117" s="234">
        <f>COUNT(F108:F113)</f>
        <v>6</v>
      </c>
      <c r="I117" s="92"/>
      <c r="J117" s="215"/>
    </row>
    <row r="118" spans="1:10" ht="26.25" customHeight="1" thickBot="1" x14ac:dyDescent="0.4">
      <c r="A118" s="255"/>
      <c r="B118" s="258"/>
      <c r="C118" s="92"/>
      <c r="D118" s="235"/>
      <c r="E118" s="259" t="s">
        <v>123</v>
      </c>
      <c r="F118" s="260"/>
      <c r="G118" s="92"/>
      <c r="H118" s="92"/>
      <c r="I118" s="92"/>
    </row>
    <row r="119" spans="1:10" ht="25.5" customHeight="1" x14ac:dyDescent="0.45">
      <c r="A119" s="236"/>
      <c r="B119" s="114"/>
      <c r="C119" s="92"/>
      <c r="D119" s="230" t="s">
        <v>124</v>
      </c>
      <c r="E119" s="237">
        <f>MIN(E108:E113)</f>
        <v>541.58438912407814</v>
      </c>
      <c r="F119" s="238">
        <f>MIN(F108:F113)</f>
        <v>90.264064854013029</v>
      </c>
      <c r="G119" s="92"/>
      <c r="H119" s="92"/>
      <c r="I119" s="92"/>
    </row>
    <row r="120" spans="1:10" ht="24" customHeight="1" thickBot="1" x14ac:dyDescent="0.5">
      <c r="A120" s="236"/>
      <c r="B120" s="114"/>
      <c r="C120" s="92"/>
      <c r="D120" s="158" t="s">
        <v>125</v>
      </c>
      <c r="E120" s="239">
        <f>MAX(E108:E113)</f>
        <v>546.41996402697157</v>
      </c>
      <c r="F120" s="240">
        <f>MAX(F108:F113)</f>
        <v>91.069994004495257</v>
      </c>
      <c r="G120" s="92"/>
      <c r="H120" s="92"/>
      <c r="I120" s="92"/>
    </row>
    <row r="121" spans="1:10" ht="27" customHeight="1" x14ac:dyDescent="0.35">
      <c r="A121" s="236"/>
      <c r="B121" s="114"/>
      <c r="C121" s="92"/>
      <c r="D121" s="92"/>
      <c r="E121" s="92"/>
      <c r="F121" s="147"/>
      <c r="G121" s="92"/>
      <c r="H121" s="92"/>
      <c r="I121" s="92"/>
    </row>
    <row r="122" spans="1:10" ht="25.5" customHeight="1" x14ac:dyDescent="0.35">
      <c r="A122" s="236"/>
      <c r="B122" s="114"/>
      <c r="C122" s="92"/>
      <c r="D122" s="92"/>
      <c r="E122" s="92"/>
      <c r="F122" s="147"/>
      <c r="G122" s="92"/>
      <c r="H122" s="92"/>
      <c r="I122" s="92"/>
    </row>
    <row r="123" spans="1:10" ht="18" x14ac:dyDescent="0.35">
      <c r="A123" s="236"/>
      <c r="B123" s="114"/>
      <c r="C123" s="92"/>
      <c r="D123" s="92"/>
      <c r="E123" s="92"/>
      <c r="F123" s="147"/>
      <c r="G123" s="92"/>
      <c r="H123" s="92"/>
      <c r="I123" s="92"/>
    </row>
    <row r="124" spans="1:10" ht="45.75" customHeight="1" x14ac:dyDescent="0.85">
      <c r="A124" s="102" t="s">
        <v>106</v>
      </c>
      <c r="B124" s="103" t="s">
        <v>126</v>
      </c>
      <c r="C124" s="261" t="str">
        <f>B26</f>
        <v>EFAVIRENZ</v>
      </c>
      <c r="D124" s="261"/>
      <c r="E124" s="92" t="s">
        <v>127</v>
      </c>
      <c r="F124" s="92"/>
      <c r="G124" s="241">
        <f>F115</f>
        <v>90.667029429254129</v>
      </c>
      <c r="H124" s="92"/>
      <c r="I124" s="92"/>
    </row>
    <row r="125" spans="1:10" ht="45.75" customHeight="1" x14ac:dyDescent="0.85">
      <c r="A125" s="102"/>
      <c r="B125" s="103" t="s">
        <v>128</v>
      </c>
      <c r="C125" s="103" t="s">
        <v>129</v>
      </c>
      <c r="D125" s="241">
        <f>MIN(F108:F113)</f>
        <v>90.264064854013029</v>
      </c>
      <c r="E125" s="103" t="s">
        <v>130</v>
      </c>
      <c r="F125" s="241">
        <f>MAX(F108:F113)</f>
        <v>91.069994004495257</v>
      </c>
      <c r="G125" s="242"/>
      <c r="H125" s="92"/>
      <c r="I125" s="92"/>
    </row>
    <row r="126" spans="1:10" ht="19.5" customHeight="1" thickBot="1" x14ac:dyDescent="0.4">
      <c r="A126" s="243"/>
      <c r="B126" s="243"/>
      <c r="C126" s="244"/>
      <c r="D126" s="244"/>
      <c r="E126" s="244"/>
      <c r="F126" s="244"/>
      <c r="G126" s="244"/>
      <c r="H126" s="244"/>
    </row>
    <row r="127" spans="1:10" ht="18" x14ac:dyDescent="0.35">
      <c r="B127" s="262" t="s">
        <v>26</v>
      </c>
      <c r="C127" s="262"/>
      <c r="E127" s="196" t="s">
        <v>27</v>
      </c>
      <c r="F127" s="245"/>
      <c r="G127" s="262" t="s">
        <v>28</v>
      </c>
      <c r="H127" s="262"/>
    </row>
    <row r="128" spans="1:10" ht="69.900000000000006" customHeight="1" x14ac:dyDescent="0.35">
      <c r="A128" s="102" t="s">
        <v>29</v>
      </c>
      <c r="B128" s="246"/>
      <c r="C128" s="246"/>
      <c r="E128" s="246"/>
      <c r="F128" s="92"/>
      <c r="G128" s="246"/>
      <c r="H128" s="246"/>
    </row>
    <row r="129" spans="1:9" ht="69.900000000000006" customHeight="1" x14ac:dyDescent="0.35">
      <c r="A129" s="102" t="s">
        <v>30</v>
      </c>
      <c r="B129" s="247"/>
      <c r="C129" s="247"/>
      <c r="E129" s="247"/>
      <c r="F129" s="92"/>
      <c r="G129" s="248"/>
      <c r="H129" s="248"/>
    </row>
    <row r="130" spans="1:9" ht="18" x14ac:dyDescent="0.35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" x14ac:dyDescent="0.35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" x14ac:dyDescent="0.35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" x14ac:dyDescent="0.35">
      <c r="A133" s="147"/>
      <c r="B133" s="147"/>
      <c r="C133" s="147"/>
      <c r="D133" s="147"/>
      <c r="E133" s="147"/>
      <c r="F133" s="149"/>
      <c r="G133" s="147"/>
      <c r="H133" s="147"/>
      <c r="I133" s="92"/>
    </row>
    <row r="134" spans="1:9" ht="18" x14ac:dyDescent="0.35">
      <c r="A134" s="147"/>
      <c r="B134" s="147"/>
      <c r="C134" s="147"/>
      <c r="D134" s="147"/>
      <c r="E134" s="147"/>
      <c r="F134" s="149"/>
      <c r="G134" s="147"/>
      <c r="H134" s="147"/>
      <c r="I134" s="92"/>
    </row>
    <row r="135" spans="1:9" ht="18" x14ac:dyDescent="0.35">
      <c r="A135" s="147"/>
      <c r="B135" s="147"/>
      <c r="C135" s="147"/>
      <c r="D135" s="147"/>
      <c r="E135" s="147"/>
      <c r="F135" s="149"/>
      <c r="G135" s="147"/>
      <c r="H135" s="147"/>
      <c r="I135" s="92"/>
    </row>
    <row r="136" spans="1:9" ht="18" x14ac:dyDescent="0.35">
      <c r="A136" s="147"/>
      <c r="B136" s="147"/>
      <c r="C136" s="147"/>
      <c r="D136" s="147"/>
      <c r="E136" s="147"/>
      <c r="F136" s="149"/>
      <c r="G136" s="147"/>
      <c r="H136" s="147"/>
      <c r="I136" s="92"/>
    </row>
    <row r="137" spans="1:9" ht="18" x14ac:dyDescent="0.35">
      <c r="A137" s="147"/>
      <c r="B137" s="147"/>
      <c r="C137" s="147"/>
      <c r="D137" s="147"/>
      <c r="E137" s="147"/>
      <c r="F137" s="149"/>
      <c r="G137" s="147"/>
      <c r="H137" s="147"/>
      <c r="I137" s="92"/>
    </row>
    <row r="138" spans="1:9" ht="18" x14ac:dyDescent="0.35">
      <c r="A138" s="147"/>
      <c r="B138" s="147"/>
      <c r="C138" s="147"/>
      <c r="D138" s="147"/>
      <c r="E138" s="147"/>
      <c r="F138" s="149"/>
      <c r="G138" s="147"/>
      <c r="H138" s="147"/>
      <c r="I138" s="92"/>
    </row>
    <row r="250" spans="1:1" x14ac:dyDescent="0.3">
      <c r="A250" s="49">
        <v>0</v>
      </c>
    </row>
  </sheetData>
  <sheetProtection password="F258" sheet="1" objects="1" scenarios="1" formatCells="0" formatColumns="0"/>
  <mergeCells count="37">
    <mergeCell ref="B20:C20"/>
    <mergeCell ref="B21:H21"/>
    <mergeCell ref="B26:C26"/>
    <mergeCell ref="B27:C27"/>
    <mergeCell ref="A1:I7"/>
    <mergeCell ref="A8:I14"/>
    <mergeCell ref="A16:H16"/>
    <mergeCell ref="A17:H17"/>
    <mergeCell ref="B18:C18"/>
    <mergeCell ref="C76:D76"/>
    <mergeCell ref="D36:E36"/>
    <mergeCell ref="F36:G36"/>
    <mergeCell ref="I39:I40"/>
    <mergeCell ref="C32:H32"/>
    <mergeCell ref="C68:C71"/>
    <mergeCell ref="D68:D71"/>
    <mergeCell ref="A70:B71"/>
    <mergeCell ref="C29:G29"/>
    <mergeCell ref="C31:H31"/>
    <mergeCell ref="A46:B47"/>
    <mergeCell ref="C60:C63"/>
    <mergeCell ref="D60:D63"/>
    <mergeCell ref="C64:C67"/>
    <mergeCell ref="D64:D67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zoomScale="68" zoomScaleNormal="68" workbookViewId="0">
      <selection activeCell="A15" sqref="A15:G61"/>
    </sheetView>
  </sheetViews>
  <sheetFormatPr defaultColWidth="9.109375" defaultRowHeight="13.8" x14ac:dyDescent="0.3"/>
  <cols>
    <col min="1" max="1" width="27.5546875" style="49" customWidth="1"/>
    <col min="2" max="2" width="20.44140625" style="49" customWidth="1"/>
    <col min="3" max="3" width="31.88671875" style="49" customWidth="1"/>
    <col min="4" max="4" width="25.88671875" style="49" customWidth="1"/>
    <col min="5" max="5" width="25.6640625" style="49" customWidth="1"/>
    <col min="6" max="6" width="23.109375" style="49" customWidth="1"/>
    <col min="7" max="7" width="28.44140625" style="49" customWidth="1"/>
    <col min="8" max="8" width="21.5546875" style="49" customWidth="1"/>
    <col min="9" max="9" width="9.109375" style="49" customWidth="1"/>
    <col min="10" max="16384" width="9.10937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5">
      <c r="A15" s="292" t="s">
        <v>0</v>
      </c>
      <c r="B15" s="292"/>
      <c r="C15" s="292"/>
      <c r="D15" s="292"/>
      <c r="E15" s="292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131</v>
      </c>
      <c r="D17" s="54"/>
      <c r="E17" s="55"/>
    </row>
    <row r="18" spans="1:5" ht="16.5" customHeight="1" x14ac:dyDescent="0.3">
      <c r="A18" s="56" t="s">
        <v>4</v>
      </c>
      <c r="B18" s="49" t="s">
        <v>132</v>
      </c>
      <c r="C18" s="55"/>
      <c r="D18" s="55"/>
      <c r="E18" s="55"/>
    </row>
    <row r="19" spans="1:5" ht="16.5" customHeight="1" x14ac:dyDescent="0.3">
      <c r="A19" s="56" t="s">
        <v>6</v>
      </c>
      <c r="B19" s="57">
        <v>97.21</v>
      </c>
      <c r="C19" s="55"/>
      <c r="D19" s="55"/>
      <c r="E19" s="55"/>
    </row>
    <row r="20" spans="1:5" ht="16.5" customHeight="1" x14ac:dyDescent="0.3">
      <c r="A20" s="53" t="s">
        <v>8</v>
      </c>
      <c r="B20" s="57">
        <v>13.58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B20/50</f>
        <v>0.27160000000000001</v>
      </c>
      <c r="C21" s="55"/>
      <c r="D21" s="55"/>
      <c r="E21" s="55"/>
    </row>
    <row r="22" spans="1:5" ht="15.75" customHeight="1" x14ac:dyDescent="0.3">
      <c r="A22" s="55"/>
      <c r="B22" s="55" t="s">
        <v>133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65742142</v>
      </c>
      <c r="C24" s="62">
        <v>5856.3</v>
      </c>
      <c r="D24" s="63">
        <v>1</v>
      </c>
      <c r="E24" s="64">
        <v>3.7</v>
      </c>
    </row>
    <row r="25" spans="1:5" ht="16.5" customHeight="1" x14ac:dyDescent="0.3">
      <c r="A25" s="61">
        <v>2</v>
      </c>
      <c r="B25" s="62">
        <v>66058604</v>
      </c>
      <c r="C25" s="62">
        <v>5830.9</v>
      </c>
      <c r="D25" s="63">
        <v>1</v>
      </c>
      <c r="E25" s="63">
        <v>3.7</v>
      </c>
    </row>
    <row r="26" spans="1:5" ht="16.5" customHeight="1" x14ac:dyDescent="0.3">
      <c r="A26" s="61">
        <v>3</v>
      </c>
      <c r="B26" s="62">
        <v>66156119</v>
      </c>
      <c r="C26" s="62">
        <v>5770.9</v>
      </c>
      <c r="D26" s="63">
        <v>1</v>
      </c>
      <c r="E26" s="63">
        <v>3.7</v>
      </c>
    </row>
    <row r="27" spans="1:5" ht="16.5" customHeight="1" x14ac:dyDescent="0.3">
      <c r="A27" s="61">
        <v>4</v>
      </c>
      <c r="B27" s="62">
        <v>66142227</v>
      </c>
      <c r="C27" s="62">
        <v>5820.9</v>
      </c>
      <c r="D27" s="63">
        <v>1</v>
      </c>
      <c r="E27" s="63">
        <v>3.7</v>
      </c>
    </row>
    <row r="28" spans="1:5" ht="16.5" customHeight="1" x14ac:dyDescent="0.3">
      <c r="A28" s="61">
        <v>5</v>
      </c>
      <c r="B28" s="62">
        <v>66228006</v>
      </c>
      <c r="C28" s="62">
        <v>5796.8</v>
      </c>
      <c r="D28" s="63">
        <v>1</v>
      </c>
      <c r="E28" s="63">
        <v>3.7</v>
      </c>
    </row>
    <row r="29" spans="1:5" ht="16.5" customHeight="1" x14ac:dyDescent="0.3">
      <c r="A29" s="61">
        <v>6</v>
      </c>
      <c r="B29" s="65">
        <v>66109555</v>
      </c>
      <c r="C29" s="65">
        <v>5795.4</v>
      </c>
      <c r="D29" s="66">
        <v>1</v>
      </c>
      <c r="E29" s="66">
        <v>3.7</v>
      </c>
    </row>
    <row r="30" spans="1:5" ht="16.5" customHeight="1" x14ac:dyDescent="0.3">
      <c r="A30" s="67" t="s">
        <v>18</v>
      </c>
      <c r="B30" s="68">
        <f>AVERAGE(B24:B29)</f>
        <v>66072775.5</v>
      </c>
      <c r="C30" s="69">
        <f>AVERAGE(C24:C29)</f>
        <v>5811.8666666666659</v>
      </c>
      <c r="D30" s="70">
        <f>AVERAGE(D24:D29)</f>
        <v>1</v>
      </c>
      <c r="E30" s="70">
        <f>AVERAGE(E24:E29)</f>
        <v>3.6999999999999997</v>
      </c>
    </row>
    <row r="31" spans="1:5" ht="16.5" customHeight="1" x14ac:dyDescent="0.3">
      <c r="A31" s="71" t="s">
        <v>19</v>
      </c>
      <c r="B31" s="72">
        <f>(STDEV(B24:B29)/B30)</f>
        <v>2.5927705725670327E-3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3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3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3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3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5">
      <c r="A58" s="82"/>
      <c r="B58" s="83"/>
      <c r="D58" s="84"/>
      <c r="F58" s="85"/>
      <c r="G58" s="85"/>
    </row>
    <row r="59" spans="1:7" ht="15" customHeight="1" x14ac:dyDescent="0.3">
      <c r="B59" s="293" t="s">
        <v>26</v>
      </c>
      <c r="C59" s="293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8" sqref="D48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7" t="s">
        <v>31</v>
      </c>
      <c r="B11" s="298"/>
      <c r="C11" s="298"/>
      <c r="D11" s="298"/>
      <c r="E11" s="298"/>
      <c r="F11" s="299"/>
      <c r="G11" s="41"/>
    </row>
    <row r="12" spans="1:7" ht="16.5" customHeight="1" x14ac:dyDescent="0.3">
      <c r="A12" s="296" t="s">
        <v>32</v>
      </c>
      <c r="B12" s="296"/>
      <c r="C12" s="296"/>
      <c r="D12" s="296"/>
      <c r="E12" s="296"/>
      <c r="F12" s="296"/>
      <c r="G12" s="40"/>
    </row>
    <row r="14" spans="1:7" ht="16.5" customHeight="1" x14ac:dyDescent="0.3">
      <c r="A14" s="301" t="s">
        <v>33</v>
      </c>
      <c r="B14" s="301"/>
      <c r="C14" s="10" t="s">
        <v>5</v>
      </c>
    </row>
    <row r="15" spans="1:7" ht="16.5" customHeight="1" x14ac:dyDescent="0.3">
      <c r="A15" s="301" t="s">
        <v>34</v>
      </c>
      <c r="B15" s="301"/>
      <c r="C15" s="10" t="s">
        <v>7</v>
      </c>
    </row>
    <row r="16" spans="1:7" ht="16.5" customHeight="1" x14ac:dyDescent="0.3">
      <c r="A16" s="301" t="s">
        <v>35</v>
      </c>
      <c r="B16" s="301"/>
      <c r="C16" s="10" t="s">
        <v>9</v>
      </c>
    </row>
    <row r="17" spans="1:5" ht="16.5" customHeight="1" x14ac:dyDescent="0.3">
      <c r="A17" s="301" t="s">
        <v>36</v>
      </c>
      <c r="B17" s="301"/>
      <c r="C17" s="10" t="s">
        <v>11</v>
      </c>
    </row>
    <row r="18" spans="1:5" ht="16.5" customHeight="1" x14ac:dyDescent="0.3">
      <c r="A18" s="301" t="s">
        <v>37</v>
      </c>
      <c r="B18" s="301"/>
      <c r="C18" s="47" t="s">
        <v>12</v>
      </c>
    </row>
    <row r="19" spans="1:5" ht="16.5" customHeight="1" x14ac:dyDescent="0.3">
      <c r="A19" s="301" t="s">
        <v>38</v>
      </c>
      <c r="B19" s="301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6" t="s">
        <v>1</v>
      </c>
      <c r="B21" s="296"/>
      <c r="C21" s="9" t="s">
        <v>39</v>
      </c>
      <c r="D21" s="16"/>
    </row>
    <row r="22" spans="1:5" ht="15.75" customHeight="1" x14ac:dyDescent="0.3">
      <c r="A22" s="300"/>
      <c r="B22" s="300"/>
      <c r="C22" s="7"/>
      <c r="D22" s="300"/>
      <c r="E22" s="300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1220.31</v>
      </c>
      <c r="D24" s="37">
        <f t="shared" ref="D24:D43" si="0">(C24-$C$46)/$C$46</f>
        <v>7.089287713144271E-4</v>
      </c>
      <c r="E24" s="3"/>
    </row>
    <row r="25" spans="1:5" ht="15.75" customHeight="1" x14ac:dyDescent="0.3">
      <c r="C25" s="45">
        <v>1213.75</v>
      </c>
      <c r="D25" s="38">
        <f t="shared" si="0"/>
        <v>-4.670565433223574E-3</v>
      </c>
      <c r="E25" s="3"/>
    </row>
    <row r="26" spans="1:5" ht="15.75" customHeight="1" x14ac:dyDescent="0.3">
      <c r="C26" s="45">
        <v>1243.24</v>
      </c>
      <c r="D26" s="38">
        <f t="shared" si="0"/>
        <v>1.9512557141750059E-2</v>
      </c>
      <c r="E26" s="3"/>
    </row>
    <row r="27" spans="1:5" ht="15.75" customHeight="1" x14ac:dyDescent="0.3">
      <c r="C27" s="45">
        <v>1217.67</v>
      </c>
      <c r="D27" s="38">
        <f t="shared" si="0"/>
        <v>-1.455989628072731E-3</v>
      </c>
      <c r="E27" s="3"/>
    </row>
    <row r="28" spans="1:5" ht="15.75" customHeight="1" x14ac:dyDescent="0.3">
      <c r="C28" s="45">
        <v>1203.3499999999999</v>
      </c>
      <c r="D28" s="38">
        <f t="shared" si="0"/>
        <v>-1.3199031855052258E-2</v>
      </c>
      <c r="E28" s="3"/>
    </row>
    <row r="29" spans="1:5" ht="15.75" customHeight="1" x14ac:dyDescent="0.3">
      <c r="C29" s="45">
        <v>1225.75</v>
      </c>
      <c r="D29" s="38">
        <f t="shared" si="0"/>
        <v>5.1699727458094369E-3</v>
      </c>
      <c r="E29" s="3"/>
    </row>
    <row r="30" spans="1:5" ht="15.75" customHeight="1" x14ac:dyDescent="0.3">
      <c r="C30" s="45">
        <v>1213.2</v>
      </c>
      <c r="D30" s="38">
        <f t="shared" si="0"/>
        <v>-5.1215900997625503E-3</v>
      </c>
      <c r="E30" s="3"/>
    </row>
    <row r="31" spans="1:5" ht="15.75" customHeight="1" x14ac:dyDescent="0.3">
      <c r="C31" s="45">
        <v>1218.82</v>
      </c>
      <c r="D31" s="38">
        <f t="shared" si="0"/>
        <v>-5.1293805258217928E-4</v>
      </c>
      <c r="E31" s="3"/>
    </row>
    <row r="32" spans="1:5" ht="15.75" customHeight="1" x14ac:dyDescent="0.3">
      <c r="C32" s="45">
        <v>1208.05</v>
      </c>
      <c r="D32" s="38">
        <f t="shared" si="0"/>
        <v>-9.3448210682642915E-3</v>
      </c>
      <c r="E32" s="3"/>
    </row>
    <row r="33" spans="1:7" ht="15.75" customHeight="1" x14ac:dyDescent="0.3">
      <c r="C33" s="45">
        <v>1214.68</v>
      </c>
      <c r="D33" s="38">
        <f t="shared" si="0"/>
        <v>-3.9079237243484638E-3</v>
      </c>
      <c r="E33" s="3"/>
    </row>
    <row r="34" spans="1:7" ht="15.75" customHeight="1" x14ac:dyDescent="0.3">
      <c r="C34" s="45">
        <v>1224.23</v>
      </c>
      <c r="D34" s="38">
        <f t="shared" si="0"/>
        <v>3.92350457646527E-3</v>
      </c>
      <c r="E34" s="3"/>
    </row>
    <row r="35" spans="1:7" ht="15.75" customHeight="1" x14ac:dyDescent="0.3">
      <c r="C35" s="45">
        <v>1202.8599999999999</v>
      </c>
      <c r="D35" s="38">
        <f t="shared" si="0"/>
        <v>-1.3600853830696114E-2</v>
      </c>
      <c r="E35" s="3"/>
    </row>
    <row r="36" spans="1:7" ht="15.75" customHeight="1" x14ac:dyDescent="0.3">
      <c r="C36" s="45">
        <v>1214.79</v>
      </c>
      <c r="D36" s="38">
        <f t="shared" si="0"/>
        <v>-3.8177187910407432E-3</v>
      </c>
      <c r="E36" s="3"/>
    </row>
    <row r="37" spans="1:7" ht="15.75" customHeight="1" x14ac:dyDescent="0.3">
      <c r="C37" s="45">
        <v>1236.3599999999999</v>
      </c>
      <c r="D37" s="38">
        <f t="shared" si="0"/>
        <v>1.3870648585771042E-2</v>
      </c>
      <c r="E37" s="3"/>
    </row>
    <row r="38" spans="1:7" ht="15.75" customHeight="1" x14ac:dyDescent="0.3">
      <c r="C38" s="45">
        <v>1221.8699999999999</v>
      </c>
      <c r="D38" s="38">
        <f t="shared" si="0"/>
        <v>1.9881987345886738E-3</v>
      </c>
      <c r="E38" s="3"/>
    </row>
    <row r="39" spans="1:7" ht="15.75" customHeight="1" x14ac:dyDescent="0.3">
      <c r="C39" s="45">
        <v>1216.3599999999999</v>
      </c>
      <c r="D39" s="38">
        <f t="shared" si="0"/>
        <v>-2.5302483792839763E-3</v>
      </c>
      <c r="E39" s="3"/>
    </row>
    <row r="40" spans="1:7" ht="15.75" customHeight="1" x14ac:dyDescent="0.3">
      <c r="C40" s="45">
        <v>1232.18</v>
      </c>
      <c r="D40" s="38">
        <f t="shared" si="0"/>
        <v>1.0442861120074677E-2</v>
      </c>
      <c r="E40" s="3"/>
    </row>
    <row r="41" spans="1:7" ht="15.75" customHeight="1" x14ac:dyDescent="0.3">
      <c r="C41" s="45">
        <v>1227.54</v>
      </c>
      <c r="D41" s="38">
        <f t="shared" si="0"/>
        <v>6.637853024181831E-3</v>
      </c>
      <c r="E41" s="3"/>
    </row>
    <row r="42" spans="1:7" ht="15.75" customHeight="1" x14ac:dyDescent="0.3">
      <c r="C42" s="45">
        <v>1211.17</v>
      </c>
      <c r="D42" s="38">
        <f t="shared" si="0"/>
        <v>-6.7862811417156122E-3</v>
      </c>
      <c r="E42" s="3"/>
    </row>
    <row r="43" spans="1:7" ht="16.5" customHeight="1" x14ac:dyDescent="0.3">
      <c r="C43" s="46">
        <v>1222.73</v>
      </c>
      <c r="D43" s="39">
        <f t="shared" si="0"/>
        <v>2.6934373040861438E-3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24388.91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1219.4455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4">
        <f>C46</f>
        <v>1219.4455</v>
      </c>
      <c r="C49" s="43">
        <f>-IF(C46&lt;=80,10%,IF(C46&lt;250,7.5%,5%))</f>
        <v>-0.05</v>
      </c>
      <c r="D49" s="31">
        <f>IF(C46&lt;=80,C46*0.9,IF(C46&lt;250,C46*0.925,C46*0.95))</f>
        <v>1158.473225</v>
      </c>
    </row>
    <row r="50" spans="1:6" ht="17.25" customHeight="1" x14ac:dyDescent="0.3">
      <c r="B50" s="295"/>
      <c r="C50" s="44">
        <f>IF(C46&lt;=80, 10%, IF(C46&lt;250, 7.5%, 5%))</f>
        <v>0.05</v>
      </c>
      <c r="D50" s="31">
        <f>IF(C46&lt;=80, C46*1.1, IF(C46&lt;250, C46*1.075, C46*1.05))</f>
        <v>1280.4177750000001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EFAVIRENZ</vt:lpstr>
      <vt:lpstr>SST</vt:lpstr>
      <vt:lpstr>Uniformity</vt:lpstr>
      <vt:lpstr>EFAVIRENZ!Print_Area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2017-08-23T06:55:16Z</cp:lastPrinted>
  <dcterms:created xsi:type="dcterms:W3CDTF">2005-07-05T10:19:27Z</dcterms:created>
  <dcterms:modified xsi:type="dcterms:W3CDTF">2017-09-15T16:05:58Z</dcterms:modified>
</cp:coreProperties>
</file>