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3"/>
  </bookViews>
  <sheets>
    <sheet name="sst sulfa" sheetId="1" r:id="rId1"/>
    <sheet name="Uniformity" sheetId="2" r:id="rId2"/>
    <sheet name="Sulfamethoxazole" sheetId="3" r:id="rId3"/>
    <sheet name="Trimethoprim" sheetId="4" r:id="rId4"/>
    <sheet name="sst trim" sheetId="5" r:id="rId5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D68" i="4" l="1"/>
  <c r="D64" i="4"/>
  <c r="D60" i="4"/>
  <c r="B42" i="5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C124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B57" i="4" s="1"/>
  <c r="C45" i="2"/>
  <c r="D41" i="2"/>
  <c r="D37" i="2"/>
  <c r="D36" i="2"/>
  <c r="D34" i="2"/>
  <c r="D32" i="2"/>
  <c r="D31" i="2"/>
  <c r="D30" i="2"/>
  <c r="D28" i="2"/>
  <c r="D27" i="2"/>
  <c r="D26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4"/>
  <c r="G91" i="4" s="1"/>
  <c r="F45" i="4"/>
  <c r="F46" i="4" s="1"/>
  <c r="D25" i="2"/>
  <c r="D29" i="2"/>
  <c r="D33" i="2"/>
  <c r="D40" i="2"/>
  <c r="I92" i="4"/>
  <c r="B69" i="4"/>
  <c r="D101" i="3"/>
  <c r="I39" i="4"/>
  <c r="F98" i="4"/>
  <c r="F99" i="4" s="1"/>
  <c r="I39" i="3"/>
  <c r="D46" i="3"/>
  <c r="F98" i="3"/>
  <c r="F99" i="3" s="1"/>
  <c r="G39" i="4"/>
  <c r="D49" i="4"/>
  <c r="G38" i="4"/>
  <c r="G41" i="4"/>
  <c r="D49" i="3"/>
  <c r="E40" i="3"/>
  <c r="E38" i="3"/>
  <c r="E41" i="3"/>
  <c r="E39" i="3"/>
  <c r="G94" i="4"/>
  <c r="D102" i="4"/>
  <c r="G93" i="4"/>
  <c r="G91" i="3"/>
  <c r="D35" i="2"/>
  <c r="D39" i="2"/>
  <c r="D43" i="2"/>
  <c r="C49" i="2"/>
  <c r="F44" i="3"/>
  <c r="F45" i="3" s="1"/>
  <c r="F46" i="3" s="1"/>
  <c r="D97" i="4"/>
  <c r="D98" i="4" s="1"/>
  <c r="D99" i="4" s="1"/>
  <c r="D49" i="2"/>
  <c r="B57" i="3"/>
  <c r="B69" i="3" s="1"/>
  <c r="D44" i="4"/>
  <c r="D45" i="4" s="1"/>
  <c r="D46" i="4" s="1"/>
  <c r="C50" i="2"/>
  <c r="D97" i="3"/>
  <c r="D98" i="3" s="1"/>
  <c r="D99" i="3" s="1"/>
  <c r="D38" i="2"/>
  <c r="D42" i="2"/>
  <c r="B49" i="2"/>
  <c r="D50" i="2"/>
  <c r="G93" i="3" l="1"/>
  <c r="G92" i="3"/>
  <c r="G40" i="4"/>
  <c r="G42" i="4" s="1"/>
  <c r="D102" i="3"/>
  <c r="G92" i="4"/>
  <c r="G95" i="4" s="1"/>
  <c r="G94" i="3"/>
  <c r="G95" i="3" s="1"/>
  <c r="E91" i="4"/>
  <c r="G39" i="3"/>
  <c r="G38" i="3"/>
  <c r="E39" i="4"/>
  <c r="E94" i="3"/>
  <c r="E93" i="3"/>
  <c r="E91" i="3"/>
  <c r="E42" i="3"/>
  <c r="E40" i="4"/>
  <c r="E92" i="3"/>
  <c r="E93" i="4"/>
  <c r="E92" i="4"/>
  <c r="E94" i="4"/>
  <c r="G40" i="3"/>
  <c r="G41" i="3"/>
  <c r="E38" i="4"/>
  <c r="E41" i="4"/>
  <c r="D50" i="3" l="1"/>
  <c r="G69" i="3" s="1"/>
  <c r="H69" i="3" s="1"/>
  <c r="G42" i="3"/>
  <c r="D52" i="3"/>
  <c r="E95" i="3"/>
  <c r="D105" i="3"/>
  <c r="D103" i="3"/>
  <c r="D50" i="4"/>
  <c r="E42" i="4"/>
  <c r="D52" i="4"/>
  <c r="D103" i="4"/>
  <c r="E95" i="4"/>
  <c r="D105" i="4"/>
  <c r="D51" i="3" l="1"/>
  <c r="G67" i="3"/>
  <c r="H67" i="3" s="1"/>
  <c r="G62" i="3"/>
  <c r="H62" i="3" s="1"/>
  <c r="G61" i="3"/>
  <c r="H61" i="3" s="1"/>
  <c r="G71" i="3"/>
  <c r="H71" i="3" s="1"/>
  <c r="G63" i="3"/>
  <c r="H63" i="3" s="1"/>
  <c r="G64" i="3"/>
  <c r="H64" i="3" s="1"/>
  <c r="G68" i="3"/>
  <c r="H68" i="3" s="1"/>
  <c r="G70" i="3"/>
  <c r="H70" i="3" s="1"/>
  <c r="G66" i="3"/>
  <c r="H66" i="3" s="1"/>
  <c r="G65" i="3"/>
  <c r="H65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H74" i="3"/>
  <c r="H72" i="3"/>
  <c r="G74" i="4"/>
  <c r="G72" i="4"/>
  <c r="G73" i="4" s="1"/>
  <c r="H60" i="4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F119" i="3" l="1"/>
  <c r="F125" i="3"/>
  <c r="F120" i="3"/>
  <c r="F117" i="3"/>
  <c r="D125" i="3"/>
  <c r="F115" i="3"/>
  <c r="G76" i="3"/>
  <c r="H73" i="3"/>
  <c r="F125" i="4"/>
  <c r="F120" i="4"/>
  <c r="F117" i="4"/>
  <c r="D125" i="4"/>
  <c r="F115" i="4"/>
  <c r="F119" i="4"/>
  <c r="H74" i="4"/>
  <c r="H72" i="4"/>
  <c r="G76" i="4" l="1"/>
  <c r="H73" i="4"/>
  <c r="G124" i="3"/>
  <c r="F116" i="3"/>
  <c r="G124" i="4"/>
  <c r="F116" i="4"/>
</calcChain>
</file>

<file path=xl/sharedStrings.xml><?xml version="1.0" encoding="utf-8"?>
<sst xmlns="http://schemas.openxmlformats.org/spreadsheetml/2006/main" count="454" uniqueCount="137">
  <si>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</si>
  <si>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</si>
  <si>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</si>
  <si>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</si>
  <si>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</si>
  <si>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</si>
  <si>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</si>
  <si>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NDQB201707091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</si>
  <si>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</si>
  <si>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</si>
  <si>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</si>
  <si>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</si>
  <si>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2017-07-20 14:50:03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</si>
  <si>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</si>
  <si>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</si>
  <si>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</si>
  <si>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</si>
  <si>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</si>
  <si>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</si>
  <si>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</si>
  <si>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</si>
  <si>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</si>
  <si>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</si>
  <si>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</si>
  <si>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</si>
  <si>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</si>
  <si>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</si>
  <si>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</si>
  <si>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</si>
  <si>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</si>
  <si>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</si>
  <si>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</si>
  <si>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</si>
  <si>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</si>
  <si>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</si>
  <si>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</si>
  <si>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</si>
  <si>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</si>
  <si>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</si>
  <si>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</si>
  <si>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</si>
  <si>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</si>
  <si>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</si>
  <si>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</si>
  <si>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</si>
  <si>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</si>
  <si>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</si>
  <si>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</si>
  <si>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</si>
  <si>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</si>
  <si>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</si>
  <si>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</si>
  <si>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</si>
  <si>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</si>
  <si>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</si>
  <si>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</si>
  <si>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</si>
  <si>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</si>
  <si>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</si>
  <si>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</si>
  <si>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</si>
  <si>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</si>
  <si>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</si>
  <si>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</si>
  <si>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</si>
  <si>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</si>
  <si>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</si>
  <si>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</si>
  <si>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</si>
  <si>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</si>
  <si>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</si>
  <si>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</si>
  <si>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</si>
  <si>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</si>
  <si>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</si>
  <si>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</si>
  <si>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</si>
  <si>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</si>
  <si>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</si>
  <si>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</si>
  <si>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</si>
  <si>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</si>
  <si>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</si>
  <si>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</si>
  <si>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</si>
  <si>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</si>
  <si>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</si>
  <si>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</si>
  <si>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</si>
  <si>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</si>
  <si>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</si>
  <si>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</si>
  <si>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</si>
  <si>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</si>
  <si>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</si>
  <si>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</si>
  <si>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</si>
  <si>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</si>
  <si>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</si>
  <si>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</si>
  <si>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</si>
  <si>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</si>
  <si>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</si>
  <si>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</si>
  <si>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</si>
  <si>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</si>
  <si>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</si>
  <si>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</si>
  <si>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</si>
  <si>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</si>
  <si>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</si>
  <si>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</si>
  <si>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</si>
  <si>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</si>
  <si>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</si>
  <si>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</si>
  <si>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</si>
  <si>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</si>
  <si>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</si>
  <si>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</si>
  <si>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</si>
  <si>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</si>
  <si>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</si>
  <si>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</si>
  <si>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</si>
  <si>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</si>
  <si>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</si>
  <si>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</si>
  <si>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</si>
  <si>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</si>
  <si>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</si>
  <si>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</si>
  <si>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sulfamethoxazole</t>
  </si>
  <si>
    <t>Trimethoprim</t>
  </si>
  <si>
    <t>Sulfamethoxazole</t>
  </si>
  <si>
    <t>S12-6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</si>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</sst>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9" workbookViewId="0">
      <selection activeCell="E29" sqref="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5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0.16339999999999999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39596196</v>
      </c>
      <c r="C24" s="18">
        <v>11301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39803686</v>
      </c>
      <c r="C25" s="18">
        <v>11493.4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39788406</v>
      </c>
      <c r="C26" s="18">
        <v>11458.5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39679193</v>
      </c>
      <c r="C27" s="18">
        <v>11651.5</v>
      </c>
      <c r="D27" s="19">
        <v>1</v>
      </c>
      <c r="E27" s="19">
        <v>8.6999999999999993</v>
      </c>
    </row>
    <row r="28" spans="1:6" ht="16.5" customHeight="1" x14ac:dyDescent="0.3">
      <c r="A28" s="17">
        <v>5</v>
      </c>
      <c r="B28" s="18">
        <v>39741269</v>
      </c>
      <c r="C28" s="18">
        <v>11714.1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39596077</v>
      </c>
      <c r="C29" s="21">
        <v>11809.3</v>
      </c>
      <c r="D29" s="22">
        <v>1</v>
      </c>
      <c r="E29" s="22">
        <v>8.6999999999999993</v>
      </c>
    </row>
    <row r="30" spans="1:6" ht="16.5" customHeight="1" x14ac:dyDescent="0.3">
      <c r="A30" s="23" t="s">
        <v>18</v>
      </c>
      <c r="B30" s="24">
        <f>AVERAGE(B24:B29)</f>
        <v>39700804.5</v>
      </c>
      <c r="C30" s="25">
        <f>AVERAGE(C24:C29)</f>
        <v>11571.300000000001</v>
      </c>
      <c r="D30" s="26">
        <f>AVERAGE(D24:D29)</f>
        <v>1</v>
      </c>
      <c r="E30" s="26">
        <f>AVERAGE(E24:E29)</f>
        <v>8.7000000000000011</v>
      </c>
    </row>
    <row r="31" spans="1:6" ht="16.5" customHeight="1" x14ac:dyDescent="0.3">
      <c r="A31" s="27" t="s">
        <v>19</v>
      </c>
      <c r="B31" s="28">
        <f>(STDEV(B24:B29)/B30)</f>
        <v>2.3160694135148851E-3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16.34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0.16339999999999999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39596196</v>
      </c>
      <c r="C45" s="18">
        <v>11301</v>
      </c>
      <c r="D45" s="19">
        <v>1</v>
      </c>
      <c r="E45" s="20">
        <v>8.6999999999999993</v>
      </c>
    </row>
    <row r="46" spans="1:6" ht="16.5" customHeight="1" x14ac:dyDescent="0.3">
      <c r="A46" s="17">
        <v>2</v>
      </c>
      <c r="B46" s="18">
        <v>39803686</v>
      </c>
      <c r="C46" s="18">
        <v>11493.4</v>
      </c>
      <c r="D46" s="19">
        <v>1</v>
      </c>
      <c r="E46" s="19">
        <v>8.6999999999999993</v>
      </c>
    </row>
    <row r="47" spans="1:6" ht="16.5" customHeight="1" x14ac:dyDescent="0.3">
      <c r="A47" s="17">
        <v>3</v>
      </c>
      <c r="B47" s="18">
        <v>39788406</v>
      </c>
      <c r="C47" s="18">
        <v>11458.5</v>
      </c>
      <c r="D47" s="19">
        <v>1</v>
      </c>
      <c r="E47" s="19">
        <v>8.6999999999999993</v>
      </c>
    </row>
    <row r="48" spans="1:6" ht="16.5" customHeight="1" x14ac:dyDescent="0.3">
      <c r="A48" s="17">
        <v>4</v>
      </c>
      <c r="B48" s="18">
        <v>39679193</v>
      </c>
      <c r="C48" s="18">
        <v>11651.5</v>
      </c>
      <c r="D48" s="19">
        <v>1</v>
      </c>
      <c r="E48" s="19">
        <v>8.6999999999999993</v>
      </c>
    </row>
    <row r="49" spans="1:7" ht="16.5" customHeight="1" x14ac:dyDescent="0.3">
      <c r="A49" s="17">
        <v>5</v>
      </c>
      <c r="B49" s="18">
        <v>39741269</v>
      </c>
      <c r="C49" s="18">
        <v>11714.1</v>
      </c>
      <c r="D49" s="19">
        <v>1</v>
      </c>
      <c r="E49" s="19">
        <v>8.6999999999999993</v>
      </c>
    </row>
    <row r="50" spans="1:7" ht="16.5" customHeight="1" x14ac:dyDescent="0.3">
      <c r="A50" s="17">
        <v>6</v>
      </c>
      <c r="B50" s="21">
        <v>39596077</v>
      </c>
      <c r="C50" s="21">
        <v>11809.3</v>
      </c>
      <c r="D50" s="22">
        <v>1</v>
      </c>
      <c r="E50" s="22">
        <v>8.6999999999999993</v>
      </c>
    </row>
    <row r="51" spans="1:7" ht="16.5" customHeight="1" x14ac:dyDescent="0.3">
      <c r="A51" s="23" t="s">
        <v>18</v>
      </c>
      <c r="B51" s="24">
        <f>AVERAGE(B45:B50)</f>
        <v>39700804.5</v>
      </c>
      <c r="C51" s="25">
        <f>AVERAGE(C45:C50)</f>
        <v>11571.300000000001</v>
      </c>
      <c r="D51" s="26">
        <f>AVERAGE(D45:D50)</f>
        <v>1</v>
      </c>
      <c r="E51" s="26">
        <f>AVERAGE(E45:E50)</f>
        <v>8.7000000000000011</v>
      </c>
    </row>
    <row r="52" spans="1:7" ht="16.5" customHeight="1" x14ac:dyDescent="0.3">
      <c r="A52" s="27" t="s">
        <v>19</v>
      </c>
      <c r="B52" s="28">
        <f>(STDEV(B45:B50)/B51)</f>
        <v>2.3160694135148851E-3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7" t="s">
        <v>26</v>
      </c>
      <c r="C59" s="4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1" t="s">
        <v>31</v>
      </c>
      <c r="B11" s="482"/>
      <c r="C11" s="482"/>
      <c r="D11" s="482"/>
      <c r="E11" s="482"/>
      <c r="F11" s="483"/>
      <c r="G11" s="91"/>
    </row>
    <row r="12" spans="1:7" ht="16.5" customHeight="1" x14ac:dyDescent="0.3">
      <c r="A12" s="480" t="s">
        <v>32</v>
      </c>
      <c r="B12" s="480"/>
      <c r="C12" s="480"/>
      <c r="D12" s="480"/>
      <c r="E12" s="480"/>
      <c r="F12" s="480"/>
      <c r="G12" s="90"/>
    </row>
    <row r="14" spans="1:7" ht="16.5" customHeight="1" x14ac:dyDescent="0.3">
      <c r="A14" s="485" t="s">
        <v>33</v>
      </c>
      <c r="B14" s="485"/>
      <c r="C14" s="60" t="s">
        <v>5</v>
      </c>
    </row>
    <row r="15" spans="1:7" ht="16.5" customHeight="1" x14ac:dyDescent="0.3">
      <c r="A15" s="485" t="s">
        <v>34</v>
      </c>
      <c r="B15" s="485"/>
      <c r="C15" s="60" t="s">
        <v>7</v>
      </c>
    </row>
    <row r="16" spans="1:7" ht="16.5" customHeight="1" x14ac:dyDescent="0.3">
      <c r="A16" s="485" t="s">
        <v>35</v>
      </c>
      <c r="B16" s="485"/>
      <c r="C16" s="60" t="s">
        <v>9</v>
      </c>
    </row>
    <row r="17" spans="1:5" ht="16.5" customHeight="1" x14ac:dyDescent="0.3">
      <c r="A17" s="485" t="s">
        <v>36</v>
      </c>
      <c r="B17" s="485"/>
      <c r="C17" s="60" t="s">
        <v>11</v>
      </c>
    </row>
    <row r="18" spans="1:5" ht="16.5" customHeight="1" x14ac:dyDescent="0.3">
      <c r="A18" s="485" t="s">
        <v>37</v>
      </c>
      <c r="B18" s="485"/>
      <c r="C18" s="97" t="s">
        <v>12</v>
      </c>
    </row>
    <row r="19" spans="1:5" ht="16.5" customHeight="1" x14ac:dyDescent="0.3">
      <c r="A19" s="485" t="s">
        <v>38</v>
      </c>
      <c r="B19" s="48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0" t="s">
        <v>1</v>
      </c>
      <c r="B21" s="480"/>
      <c r="C21" s="59" t="s">
        <v>39</v>
      </c>
      <c r="D21" s="66"/>
    </row>
    <row r="22" spans="1:5" ht="15.75" customHeight="1" x14ac:dyDescent="0.3">
      <c r="A22" s="484"/>
      <c r="B22" s="484"/>
      <c r="C22" s="57"/>
      <c r="D22" s="484"/>
      <c r="E22" s="48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1046.58</v>
      </c>
      <c r="D24" s="87">
        <f t="shared" ref="D24:D43" si="0">(C24-$C$46)/$C$46</f>
        <v>-2.3587907015317458E-3</v>
      </c>
      <c r="E24" s="53"/>
    </row>
    <row r="25" spans="1:5" ht="15.75" customHeight="1" x14ac:dyDescent="0.3">
      <c r="C25" s="95">
        <v>1051.4100000000001</v>
      </c>
      <c r="D25" s="88">
        <f t="shared" si="0"/>
        <v>2.2453552222502456E-3</v>
      </c>
      <c r="E25" s="53"/>
    </row>
    <row r="26" spans="1:5" ht="15.75" customHeight="1" x14ac:dyDescent="0.3">
      <c r="C26" s="95">
        <v>1055.4100000000001</v>
      </c>
      <c r="D26" s="88">
        <f t="shared" si="0"/>
        <v>6.0583125090260996E-3</v>
      </c>
      <c r="E26" s="53"/>
    </row>
    <row r="27" spans="1:5" ht="15.75" customHeight="1" x14ac:dyDescent="0.3">
      <c r="C27" s="95">
        <v>1053.6600000000001</v>
      </c>
      <c r="D27" s="88">
        <f t="shared" si="0"/>
        <v>4.3901436960616632E-3</v>
      </c>
      <c r="E27" s="53"/>
    </row>
    <row r="28" spans="1:5" ht="15.75" customHeight="1" x14ac:dyDescent="0.3">
      <c r="C28" s="95">
        <v>1043.4000000000001</v>
      </c>
      <c r="D28" s="88">
        <f t="shared" si="0"/>
        <v>-5.3900917445183936E-3</v>
      </c>
      <c r="E28" s="53"/>
    </row>
    <row r="29" spans="1:5" ht="15.75" customHeight="1" x14ac:dyDescent="0.3">
      <c r="C29" s="95">
        <v>1045.45</v>
      </c>
      <c r="D29" s="88">
        <f t="shared" si="0"/>
        <v>-3.4359511350458118E-3</v>
      </c>
      <c r="E29" s="53"/>
    </row>
    <row r="30" spans="1:5" ht="15.75" customHeight="1" x14ac:dyDescent="0.3">
      <c r="C30" s="95">
        <v>1045.54</v>
      </c>
      <c r="D30" s="88">
        <f t="shared" si="0"/>
        <v>-3.350159596093433E-3</v>
      </c>
      <c r="E30" s="53"/>
    </row>
    <row r="31" spans="1:5" ht="15.75" customHeight="1" x14ac:dyDescent="0.3">
      <c r="C31" s="95">
        <v>1053.77</v>
      </c>
      <c r="D31" s="88">
        <f t="shared" si="0"/>
        <v>4.4950000214479041E-3</v>
      </c>
      <c r="E31" s="53"/>
    </row>
    <row r="32" spans="1:5" ht="15.75" customHeight="1" x14ac:dyDescent="0.3">
      <c r="C32" s="95">
        <v>1054.78</v>
      </c>
      <c r="D32" s="88">
        <f t="shared" si="0"/>
        <v>5.4577717363587987E-3</v>
      </c>
      <c r="E32" s="53"/>
    </row>
    <row r="33" spans="1:7" ht="15.75" customHeight="1" x14ac:dyDescent="0.3">
      <c r="C33" s="95">
        <v>1051.8</v>
      </c>
      <c r="D33" s="88">
        <f t="shared" si="0"/>
        <v>2.6171185577107698E-3</v>
      </c>
      <c r="E33" s="53"/>
    </row>
    <row r="34" spans="1:7" ht="15.75" customHeight="1" x14ac:dyDescent="0.3">
      <c r="C34" s="95">
        <v>1051.4000000000001</v>
      </c>
      <c r="D34" s="88">
        <f t="shared" si="0"/>
        <v>2.2358228290333144E-3</v>
      </c>
      <c r="E34" s="53"/>
    </row>
    <row r="35" spans="1:7" ht="15.75" customHeight="1" x14ac:dyDescent="0.3">
      <c r="C35" s="95">
        <v>1043.06</v>
      </c>
      <c r="D35" s="88">
        <f t="shared" si="0"/>
        <v>-5.71419311389448E-3</v>
      </c>
      <c r="E35" s="53"/>
    </row>
    <row r="36" spans="1:7" ht="15.75" customHeight="1" x14ac:dyDescent="0.3">
      <c r="C36" s="95">
        <v>1042.5899999999999</v>
      </c>
      <c r="D36" s="88">
        <f t="shared" si="0"/>
        <v>-6.162215595090669E-3</v>
      </c>
      <c r="E36" s="53"/>
    </row>
    <row r="37" spans="1:7" ht="15.75" customHeight="1" x14ac:dyDescent="0.3">
      <c r="C37" s="95">
        <v>1043.26</v>
      </c>
      <c r="D37" s="88">
        <f t="shared" si="0"/>
        <v>-5.5235452495556439E-3</v>
      </c>
      <c r="E37" s="53"/>
    </row>
    <row r="38" spans="1:7" ht="15.75" customHeight="1" x14ac:dyDescent="0.3">
      <c r="C38" s="95">
        <v>1060.53</v>
      </c>
      <c r="D38" s="88">
        <f t="shared" si="0"/>
        <v>1.0938897836099089E-2</v>
      </c>
      <c r="E38" s="53"/>
    </row>
    <row r="39" spans="1:7" ht="15.75" customHeight="1" x14ac:dyDescent="0.3">
      <c r="C39" s="95">
        <v>1049.4000000000001</v>
      </c>
      <c r="D39" s="88">
        <f t="shared" si="0"/>
        <v>3.2934418564538749E-4</v>
      </c>
      <c r="E39" s="53"/>
    </row>
    <row r="40" spans="1:7" ht="15.75" customHeight="1" x14ac:dyDescent="0.3">
      <c r="C40" s="95">
        <v>1049.8900000000001</v>
      </c>
      <c r="D40" s="88">
        <f t="shared" si="0"/>
        <v>7.9643145327543824E-4</v>
      </c>
      <c r="E40" s="53"/>
    </row>
    <row r="41" spans="1:7" ht="15.75" customHeight="1" x14ac:dyDescent="0.3">
      <c r="C41" s="95">
        <v>1046.77</v>
      </c>
      <c r="D41" s="88">
        <f t="shared" si="0"/>
        <v>-2.1776752304098405E-3</v>
      </c>
      <c r="E41" s="53"/>
    </row>
    <row r="42" spans="1:7" ht="15.75" customHeight="1" x14ac:dyDescent="0.3">
      <c r="C42" s="95">
        <v>1047.75</v>
      </c>
      <c r="D42" s="88">
        <f t="shared" si="0"/>
        <v>-1.243500695149739E-3</v>
      </c>
      <c r="E42" s="53"/>
    </row>
    <row r="43" spans="1:7" ht="16.5" customHeight="1" x14ac:dyDescent="0.3">
      <c r="C43" s="96">
        <v>1044.6400000000001</v>
      </c>
      <c r="D43" s="89">
        <f t="shared" si="0"/>
        <v>-4.2080749856178703E-3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20981.09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1049.0545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8">
        <f>C46</f>
        <v>1049.0545</v>
      </c>
      <c r="C49" s="93">
        <f>-IF(C46&lt;=80,10%,IF(C46&lt;250,7.5%,5%))</f>
        <v>-0.05</v>
      </c>
      <c r="D49" s="81">
        <f>IF(C46&lt;=80,C46*0.9,IF(C46&lt;250,C46*0.925,C46*0.95))</f>
        <v>996.60177499999986</v>
      </c>
    </row>
    <row r="50" spans="1:6" ht="17.25" customHeight="1" x14ac:dyDescent="0.3">
      <c r="B50" s="479"/>
      <c r="C50" s="94">
        <f>IF(C46&lt;=80, 10%, IF(C46&lt;250, 7.5%, 5%))</f>
        <v>0.05</v>
      </c>
      <c r="D50" s="81">
        <f>IF(C46&lt;=80, C46*1.1, IF(C46&lt;250, C46*1.075, C46*1.05))</f>
        <v>1101.5072250000001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8" t="s">
        <v>45</v>
      </c>
      <c r="B1" s="518"/>
      <c r="C1" s="518"/>
      <c r="D1" s="518"/>
      <c r="E1" s="518"/>
      <c r="F1" s="518"/>
      <c r="G1" s="518"/>
      <c r="H1" s="518"/>
      <c r="I1" s="518"/>
    </row>
    <row r="2" spans="1:9" ht="18.75" customHeight="1" x14ac:dyDescent="0.25">
      <c r="A2" s="518"/>
      <c r="B2" s="518"/>
      <c r="C2" s="518"/>
      <c r="D2" s="518"/>
      <c r="E2" s="518"/>
      <c r="F2" s="518"/>
      <c r="G2" s="518"/>
      <c r="H2" s="518"/>
      <c r="I2" s="518"/>
    </row>
    <row r="3" spans="1:9" ht="18.75" customHeight="1" x14ac:dyDescent="0.25">
      <c r="A3" s="518"/>
      <c r="B3" s="518"/>
      <c r="C3" s="518"/>
      <c r="D3" s="518"/>
      <c r="E3" s="518"/>
      <c r="F3" s="518"/>
      <c r="G3" s="518"/>
      <c r="H3" s="518"/>
      <c r="I3" s="518"/>
    </row>
    <row r="4" spans="1:9" ht="18.75" customHeight="1" x14ac:dyDescent="0.25">
      <c r="A4" s="518"/>
      <c r="B4" s="518"/>
      <c r="C4" s="518"/>
      <c r="D4" s="518"/>
      <c r="E4" s="518"/>
      <c r="F4" s="518"/>
      <c r="G4" s="518"/>
      <c r="H4" s="518"/>
      <c r="I4" s="518"/>
    </row>
    <row r="5" spans="1:9" ht="18.75" customHeight="1" x14ac:dyDescent="0.25">
      <c r="A5" s="518"/>
      <c r="B5" s="518"/>
      <c r="C5" s="518"/>
      <c r="D5" s="518"/>
      <c r="E5" s="518"/>
      <c r="F5" s="518"/>
      <c r="G5" s="518"/>
      <c r="H5" s="518"/>
      <c r="I5" s="518"/>
    </row>
    <row r="6" spans="1:9" ht="18.75" customHeight="1" x14ac:dyDescent="0.25">
      <c r="A6" s="518"/>
      <c r="B6" s="518"/>
      <c r="C6" s="518"/>
      <c r="D6" s="518"/>
      <c r="E6" s="518"/>
      <c r="F6" s="518"/>
      <c r="G6" s="518"/>
      <c r="H6" s="518"/>
      <c r="I6" s="518"/>
    </row>
    <row r="7" spans="1:9" ht="18.75" customHeight="1" x14ac:dyDescent="0.25">
      <c r="A7" s="518"/>
      <c r="B7" s="518"/>
      <c r="C7" s="518"/>
      <c r="D7" s="518"/>
      <c r="E7" s="518"/>
      <c r="F7" s="518"/>
      <c r="G7" s="518"/>
      <c r="H7" s="518"/>
      <c r="I7" s="518"/>
    </row>
    <row r="8" spans="1:9" x14ac:dyDescent="0.25">
      <c r="A8" s="519" t="s">
        <v>46</v>
      </c>
      <c r="B8" s="519"/>
      <c r="C8" s="519"/>
      <c r="D8" s="519"/>
      <c r="E8" s="519"/>
      <c r="F8" s="519"/>
      <c r="G8" s="519"/>
      <c r="H8" s="519"/>
      <c r="I8" s="519"/>
    </row>
    <row r="9" spans="1:9" x14ac:dyDescent="0.25">
      <c r="A9" s="519"/>
      <c r="B9" s="519"/>
      <c r="C9" s="519"/>
      <c r="D9" s="519"/>
      <c r="E9" s="519"/>
      <c r="F9" s="519"/>
      <c r="G9" s="519"/>
      <c r="H9" s="519"/>
      <c r="I9" s="519"/>
    </row>
    <row r="10" spans="1:9" x14ac:dyDescent="0.25">
      <c r="A10" s="519"/>
      <c r="B10" s="519"/>
      <c r="C10" s="519"/>
      <c r="D10" s="519"/>
      <c r="E10" s="519"/>
      <c r="F10" s="519"/>
      <c r="G10" s="519"/>
      <c r="H10" s="519"/>
      <c r="I10" s="519"/>
    </row>
    <row r="11" spans="1:9" x14ac:dyDescent="0.25">
      <c r="A11" s="519"/>
      <c r="B11" s="519"/>
      <c r="C11" s="519"/>
      <c r="D11" s="519"/>
      <c r="E11" s="519"/>
      <c r="F11" s="519"/>
      <c r="G11" s="519"/>
      <c r="H11" s="519"/>
      <c r="I11" s="519"/>
    </row>
    <row r="12" spans="1:9" x14ac:dyDescent="0.25">
      <c r="A12" s="519"/>
      <c r="B12" s="519"/>
      <c r="C12" s="519"/>
      <c r="D12" s="519"/>
      <c r="E12" s="519"/>
      <c r="F12" s="519"/>
      <c r="G12" s="519"/>
      <c r="H12" s="519"/>
      <c r="I12" s="519"/>
    </row>
    <row r="13" spans="1:9" x14ac:dyDescent="0.25">
      <c r="A13" s="519"/>
      <c r="B13" s="519"/>
      <c r="C13" s="519"/>
      <c r="D13" s="519"/>
      <c r="E13" s="519"/>
      <c r="F13" s="519"/>
      <c r="G13" s="519"/>
      <c r="H13" s="519"/>
      <c r="I13" s="519"/>
    </row>
    <row r="14" spans="1:9" x14ac:dyDescent="0.25">
      <c r="A14" s="519"/>
      <c r="B14" s="519"/>
      <c r="C14" s="519"/>
      <c r="D14" s="519"/>
      <c r="E14" s="519"/>
      <c r="F14" s="519"/>
      <c r="G14" s="519"/>
      <c r="H14" s="519"/>
      <c r="I14" s="519"/>
    </row>
    <row r="15" spans="1:9" ht="19.5" customHeight="1" x14ac:dyDescent="0.3">
      <c r="A15" s="98"/>
    </row>
    <row r="16" spans="1:9" ht="19.5" customHeight="1" x14ac:dyDescent="0.3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25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4">
      <c r="A18" s="100" t="s">
        <v>33</v>
      </c>
      <c r="B18" s="489" t="s">
        <v>5</v>
      </c>
      <c r="C18" s="48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4" t="s">
        <v>9</v>
      </c>
      <c r="C20" s="49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4" t="s">
        <v>11</v>
      </c>
      <c r="C21" s="494"/>
      <c r="D21" s="494"/>
      <c r="E21" s="494"/>
      <c r="F21" s="494"/>
      <c r="G21" s="494"/>
      <c r="H21" s="49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42944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8" t="s">
        <v>134</v>
      </c>
      <c r="C26" s="489"/>
    </row>
    <row r="27" spans="1:14" ht="26.25" customHeight="1" x14ac:dyDescent="0.4">
      <c r="A27" s="109" t="s">
        <v>48</v>
      </c>
      <c r="B27" s="495" t="s">
        <v>135</v>
      </c>
      <c r="C27" s="496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497" t="s">
        <v>50</v>
      </c>
      <c r="D29" s="498"/>
      <c r="E29" s="498"/>
      <c r="F29" s="498"/>
      <c r="G29" s="49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00" t="s">
        <v>53</v>
      </c>
      <c r="D31" s="501"/>
      <c r="E31" s="501"/>
      <c r="F31" s="501"/>
      <c r="G31" s="501"/>
      <c r="H31" s="50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00" t="s">
        <v>55</v>
      </c>
      <c r="D32" s="501"/>
      <c r="E32" s="501"/>
      <c r="F32" s="501"/>
      <c r="G32" s="501"/>
      <c r="H32" s="5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503" t="s">
        <v>59</v>
      </c>
      <c r="E36" s="504"/>
      <c r="F36" s="503" t="s">
        <v>60</v>
      </c>
      <c r="G36" s="5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39742433</v>
      </c>
      <c r="E38" s="133">
        <f>IF(ISBLANK(D38),"-",$D$48/$D$45*D38)</f>
        <v>39300625.196695052</v>
      </c>
      <c r="F38" s="132">
        <v>42862644</v>
      </c>
      <c r="G38" s="134">
        <f>IF(ISBLANK(F38),"-",$D$48/$F$45*F38)</f>
        <v>38822291.64194759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40076746</v>
      </c>
      <c r="E39" s="138">
        <f>IF(ISBLANK(D39),"-",$D$48/$D$45*D39)</f>
        <v>39631221.71330446</v>
      </c>
      <c r="F39" s="137">
        <v>42740656</v>
      </c>
      <c r="G39" s="139">
        <f>IF(ISBLANK(F39),"-",$D$48/$F$45*F39)</f>
        <v>38711802.571025655</v>
      </c>
      <c r="I39" s="507">
        <f>ABS((F43/D43*D42)-F42)/D42</f>
        <v>1.7252658859656548E-2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39814328</v>
      </c>
      <c r="E40" s="138">
        <f>IF(ISBLANK(D40),"-",$D$48/$D$45*D40)</f>
        <v>39371720.955943525</v>
      </c>
      <c r="F40" s="137">
        <v>42948479</v>
      </c>
      <c r="G40" s="139">
        <f>IF(ISBLANK(F40),"-",$D$48/$F$45*F40)</f>
        <v>38900035.595472403</v>
      </c>
      <c r="I40" s="5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39877835.666666664</v>
      </c>
      <c r="E42" s="148">
        <f>AVERAGE(E38:E41)</f>
        <v>39434522.621981017</v>
      </c>
      <c r="F42" s="147">
        <f>AVERAGE(F38:F41)</f>
        <v>42850593</v>
      </c>
      <c r="G42" s="149">
        <f>AVERAGE(G38:G41)</f>
        <v>38811376.602815211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16.34</v>
      </c>
      <c r="E43" s="140"/>
      <c r="F43" s="152">
        <v>17.84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16.34</v>
      </c>
      <c r="E44" s="155"/>
      <c r="F44" s="154">
        <f>F43*$B$34</f>
        <v>17.84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16.179867999999999</v>
      </c>
      <c r="E45" s="158"/>
      <c r="F45" s="157">
        <f>F44*$B$30/100</f>
        <v>17.665167999999998</v>
      </c>
      <c r="H45" s="150"/>
    </row>
    <row r="46" spans="1:14" ht="19.5" customHeight="1" x14ac:dyDescent="0.3">
      <c r="A46" s="508" t="s">
        <v>78</v>
      </c>
      <c r="B46" s="509"/>
      <c r="C46" s="153" t="s">
        <v>79</v>
      </c>
      <c r="D46" s="159">
        <f>D45/$B$45</f>
        <v>0.16179868</v>
      </c>
      <c r="E46" s="160"/>
      <c r="F46" s="161">
        <f>F45/$B$45</f>
        <v>0.17665167999999998</v>
      </c>
      <c r="H46" s="150"/>
    </row>
    <row r="47" spans="1:14" ht="27" customHeight="1" x14ac:dyDescent="0.4">
      <c r="A47" s="510"/>
      <c r="B47" s="511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39122949.612398118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9.2930697631072763E-3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Sulphamethoxazole B.P. 800 mg and Trimethoprim B.P.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Sulfamethoxazole &amp; Trimethoprim</v>
      </c>
      <c r="H56" s="179"/>
    </row>
    <row r="57" spans="1:12" ht="18.75" x14ac:dyDescent="0.3">
      <c r="A57" s="176" t="s">
        <v>88</v>
      </c>
      <c r="B57" s="247">
        <f>Uniformity!C46</f>
        <v>1049.0545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12" t="s">
        <v>94</v>
      </c>
      <c r="D60" s="515">
        <v>1054.67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13"/>
      <c r="D61" s="516"/>
      <c r="E61" s="184">
        <v>2</v>
      </c>
      <c r="F61" s="137">
        <v>39447553</v>
      </c>
      <c r="G61" s="249">
        <f>IF(ISBLANK(F61),"-",(F61/$D$50*$D$47*$B$68)*($B$57/$D$60))</f>
        <v>802.34273283702009</v>
      </c>
      <c r="H61" s="267">
        <f t="shared" si="0"/>
        <v>100.2928416046275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3"/>
      <c r="D62" s="516"/>
      <c r="E62" s="184">
        <v>3</v>
      </c>
      <c r="F62" s="185">
        <v>38894744</v>
      </c>
      <c r="G62" s="249">
        <f>IF(ISBLANK(F62),"-",(F62/$D$50*$D$47*$B$68)*($B$57/$D$60))</f>
        <v>791.09888499183432</v>
      </c>
      <c r="H62" s="267">
        <f t="shared" si="0"/>
        <v>98.887360623979291</v>
      </c>
      <c r="L62" s="112"/>
    </row>
    <row r="63" spans="1:12" ht="27" customHeight="1" x14ac:dyDescent="0.4">
      <c r="A63" s="124" t="s">
        <v>97</v>
      </c>
      <c r="B63" s="125">
        <v>1</v>
      </c>
      <c r="C63" s="514"/>
      <c r="D63" s="517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12" t="s">
        <v>99</v>
      </c>
      <c r="D64" s="515">
        <v>1060.52</v>
      </c>
      <c r="E64" s="182">
        <v>1</v>
      </c>
      <c r="F64" s="183"/>
      <c r="G64" s="248" t="str">
        <f>IF(ISBLANK(F64),"-",(F64/$D$50*$D$47*$B$68)*($B$57/$D$64))</f>
        <v>-</v>
      </c>
      <c r="H64" s="266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513"/>
      <c r="D65" s="516"/>
      <c r="E65" s="184">
        <v>2</v>
      </c>
      <c r="F65" s="137">
        <v>39960894</v>
      </c>
      <c r="G65" s="249">
        <f>IF(ISBLANK(F65),"-",(F65/$D$50*$D$47*$B$68)*($B$57/$D$64))</f>
        <v>808.30037492972372</v>
      </c>
      <c r="H65" s="267">
        <f t="shared" si="0"/>
        <v>101.03754686621546</v>
      </c>
    </row>
    <row r="66" spans="1:8" ht="26.25" customHeight="1" x14ac:dyDescent="0.4">
      <c r="A66" s="124" t="s">
        <v>101</v>
      </c>
      <c r="B66" s="125">
        <v>1</v>
      </c>
      <c r="C66" s="513"/>
      <c r="D66" s="516"/>
      <c r="E66" s="184">
        <v>3</v>
      </c>
      <c r="F66" s="137">
        <v>39197283</v>
      </c>
      <c r="G66" s="249">
        <f>IF(ISBLANK(F66),"-",(F66/$D$50*$D$47*$B$68)*($B$57/$D$64))</f>
        <v>792.85459792582424</v>
      </c>
      <c r="H66" s="267">
        <f t="shared" si="0"/>
        <v>99.10682474072803</v>
      </c>
    </row>
    <row r="67" spans="1:8" ht="27" customHeight="1" x14ac:dyDescent="0.4">
      <c r="A67" s="124" t="s">
        <v>102</v>
      </c>
      <c r="B67" s="125">
        <v>1</v>
      </c>
      <c r="C67" s="514"/>
      <c r="D67" s="517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12" t="s">
        <v>104</v>
      </c>
      <c r="D68" s="515">
        <v>1046.57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1049.0545</v>
      </c>
      <c r="C69" s="513"/>
      <c r="D69" s="516"/>
      <c r="E69" s="184">
        <v>2</v>
      </c>
      <c r="F69" s="137">
        <v>38933729</v>
      </c>
      <c r="G69" s="249">
        <f>IF(ISBLANK(F69),"-",(F69/$D$50*$D$47*$B$68)*($B$57/$D$68))</f>
        <v>798.02072046449518</v>
      </c>
      <c r="H69" s="267">
        <f t="shared" si="0"/>
        <v>99.752590058061898</v>
      </c>
    </row>
    <row r="70" spans="1:8" ht="26.25" customHeight="1" x14ac:dyDescent="0.4">
      <c r="A70" s="525" t="s">
        <v>78</v>
      </c>
      <c r="B70" s="526"/>
      <c r="C70" s="513"/>
      <c r="D70" s="516"/>
      <c r="E70" s="184">
        <v>3</v>
      </c>
      <c r="F70" s="137">
        <v>38223179</v>
      </c>
      <c r="G70" s="249">
        <f>IF(ISBLANK(F70),"-",(F70/$D$50*$D$47*$B$68)*($B$57/$D$68))</f>
        <v>783.45664870743212</v>
      </c>
      <c r="H70" s="267">
        <f t="shared" si="0"/>
        <v>97.932081088429015</v>
      </c>
    </row>
    <row r="71" spans="1:8" ht="27" customHeight="1" x14ac:dyDescent="0.4">
      <c r="A71" s="527"/>
      <c r="B71" s="528"/>
      <c r="C71" s="524"/>
      <c r="D71" s="517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796.01232664272163</v>
      </c>
      <c r="H72" s="269">
        <f>AVERAGE(H60:H71)</f>
        <v>99.501540830340204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1.1050279329017474E-2</v>
      </c>
      <c r="H73" s="253">
        <f>STDEV(H60:H71)/H72</f>
        <v>1.1050279329017455E-2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520" t="str">
        <f>B26</f>
        <v>Sulfamethoxazole</v>
      </c>
      <c r="D76" s="520"/>
      <c r="E76" s="198" t="s">
        <v>108</v>
      </c>
      <c r="F76" s="198"/>
      <c r="G76" s="285">
        <f>H72</f>
        <v>99.501540830340204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6" t="str">
        <f>B26</f>
        <v>Sulfamethoxazole</v>
      </c>
      <c r="C79" s="506"/>
    </row>
    <row r="80" spans="1:8" ht="26.25" customHeight="1" x14ac:dyDescent="0.4">
      <c r="A80" s="109" t="s">
        <v>48</v>
      </c>
      <c r="B80" s="506" t="str">
        <f>B27</f>
        <v>S12-6</v>
      </c>
      <c r="C80" s="506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7" t="s">
        <v>50</v>
      </c>
      <c r="D82" s="498"/>
      <c r="E82" s="498"/>
      <c r="F82" s="498"/>
      <c r="G82" s="49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00" t="s">
        <v>111</v>
      </c>
      <c r="D84" s="501"/>
      <c r="E84" s="501"/>
      <c r="F84" s="501"/>
      <c r="G84" s="501"/>
      <c r="H84" s="50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00" t="s">
        <v>112</v>
      </c>
      <c r="D85" s="501"/>
      <c r="E85" s="501"/>
      <c r="F85" s="501"/>
      <c r="G85" s="501"/>
      <c r="H85" s="5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503" t="s">
        <v>60</v>
      </c>
      <c r="G89" s="505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39742433</v>
      </c>
      <c r="E91" s="133">
        <f>IF(ISBLANK(D91),"-",$D$101/$D$98*D91)</f>
        <v>43667361.329661176</v>
      </c>
      <c r="F91" s="132">
        <v>42862644</v>
      </c>
      <c r="G91" s="134">
        <f>IF(ISBLANK(F91),"-",$D$101/$F$98*F91)</f>
        <v>43135879.602163993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40076746</v>
      </c>
      <c r="E92" s="138">
        <f>IF(ISBLANK(D92),"-",$D$101/$D$98*D92)</f>
        <v>44034690.792560518</v>
      </c>
      <c r="F92" s="137">
        <v>42740656</v>
      </c>
      <c r="G92" s="139">
        <f>IF(ISBLANK(F92),"-",$D$101/$F$98*F92)</f>
        <v>43013113.967806287</v>
      </c>
      <c r="I92" s="507">
        <f>ABS((F96/D96*D95)-F95)/D95</f>
        <v>1.7252658859656548E-2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39814328</v>
      </c>
      <c r="E93" s="138">
        <f>IF(ISBLANK(D93),"-",$D$101/$D$98*D93)</f>
        <v>43746356.617715031</v>
      </c>
      <c r="F93" s="137">
        <v>42948479</v>
      </c>
      <c r="G93" s="139">
        <f>IF(ISBLANK(F93),"-",$D$101/$F$98*F93)</f>
        <v>43222261.772747122</v>
      </c>
      <c r="I93" s="507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39877835.666666664</v>
      </c>
      <c r="E95" s="148">
        <f>AVERAGE(E91:E94)</f>
        <v>43816136.246645577</v>
      </c>
      <c r="F95" s="211">
        <f>AVERAGE(F91:F94)</f>
        <v>42850593</v>
      </c>
      <c r="G95" s="212">
        <f>AVERAGE(G91:G94)</f>
        <v>43123751.780905806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16.34</v>
      </c>
      <c r="E96" s="140"/>
      <c r="F96" s="152">
        <v>17.84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16.34</v>
      </c>
      <c r="E97" s="155"/>
      <c r="F97" s="154">
        <f>F96*$B$87</f>
        <v>17.84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16.179867999999999</v>
      </c>
      <c r="E98" s="158"/>
      <c r="F98" s="157">
        <f>F97*$B$83/100</f>
        <v>17.665167999999998</v>
      </c>
    </row>
    <row r="99" spans="1:10" ht="19.5" customHeight="1" x14ac:dyDescent="0.3">
      <c r="A99" s="508" t="s">
        <v>78</v>
      </c>
      <c r="B99" s="522"/>
      <c r="C99" s="215" t="s">
        <v>116</v>
      </c>
      <c r="D99" s="219">
        <f>D98/$B$98</f>
        <v>0.16179868</v>
      </c>
      <c r="E99" s="158"/>
      <c r="F99" s="161">
        <f>F98/$B$98</f>
        <v>0.17665167999999998</v>
      </c>
      <c r="G99" s="220"/>
      <c r="H99" s="150"/>
    </row>
    <row r="100" spans="1:10" ht="19.5" customHeight="1" x14ac:dyDescent="0.3">
      <c r="A100" s="510"/>
      <c r="B100" s="523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43469944.013775684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9.2930697631072885E-3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10</v>
      </c>
      <c r="C108" s="275">
        <v>1</v>
      </c>
      <c r="D108" s="276">
        <v>36800976</v>
      </c>
      <c r="E108" s="250">
        <f t="shared" ref="E108:E113" si="1">IF(ISBLANK(D108),"-",D108/$D$103*$D$100*$B$116)</f>
        <v>677.267511333122</v>
      </c>
      <c r="F108" s="277">
        <f t="shared" ref="F108:F113" si="2">IF(ISBLANK(D108), "-", (E108/$B$56)*100)</f>
        <v>84.65843891664025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73">
        <v>36975382</v>
      </c>
      <c r="E109" s="251">
        <f t="shared" si="1"/>
        <v>680.47719570620939</v>
      </c>
      <c r="F109" s="278">
        <f t="shared" si="2"/>
        <v>85.059649463276173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36828000</v>
      </c>
      <c r="E110" s="251">
        <f t="shared" si="1"/>
        <v>677.76484806751364</v>
      </c>
      <c r="F110" s="278">
        <f t="shared" si="2"/>
        <v>84.720606008439205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36848186</v>
      </c>
      <c r="E111" s="251">
        <f t="shared" si="1"/>
        <v>678.13634152963732</v>
      </c>
      <c r="F111" s="278">
        <f t="shared" si="2"/>
        <v>84.767042691204665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37042179</v>
      </c>
      <c r="E112" s="251">
        <f t="shared" si="1"/>
        <v>681.70649565614872</v>
      </c>
      <c r="F112" s="278">
        <f t="shared" si="2"/>
        <v>85.21331195701859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36998788</v>
      </c>
      <c r="E113" s="252">
        <f t="shared" si="1"/>
        <v>680.9079485039141</v>
      </c>
      <c r="F113" s="279">
        <f t="shared" si="2"/>
        <v>85.113493562989262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679.37672346609099</v>
      </c>
      <c r="F115" s="281">
        <f>AVERAGE(F108:F113)</f>
        <v>84.922090433261374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2.7591656329045405E-3</v>
      </c>
      <c r="F116" s="235">
        <f>STDEV(F108:F113)/F115</f>
        <v>2.7591656329045405E-3</v>
      </c>
      <c r="I116" s="98"/>
    </row>
    <row r="117" spans="1:10" ht="27" customHeight="1" x14ac:dyDescent="0.4">
      <c r="A117" s="508" t="s">
        <v>78</v>
      </c>
      <c r="B117" s="50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10"/>
      <c r="B118" s="511"/>
      <c r="C118" s="98"/>
      <c r="D118" s="260"/>
      <c r="E118" s="486" t="s">
        <v>123</v>
      </c>
      <c r="F118" s="48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677.267511333122</v>
      </c>
      <c r="F119" s="282">
        <f>MIN(F108:F113)</f>
        <v>84.65843891664025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681.70649565614872</v>
      </c>
      <c r="F120" s="283">
        <f>MAX(F108:F113)</f>
        <v>85.21331195701859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20" t="str">
        <f>B26</f>
        <v>Sulfamethoxazole</v>
      </c>
      <c r="D124" s="520"/>
      <c r="E124" s="198" t="s">
        <v>127</v>
      </c>
      <c r="F124" s="198"/>
      <c r="G124" s="284">
        <f>F115</f>
        <v>84.922090433261374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84.65843891664025</v>
      </c>
      <c r="E125" s="209" t="s">
        <v>130</v>
      </c>
      <c r="F125" s="284">
        <f>MAX(F108:F113)</f>
        <v>85.21331195701859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21" t="s">
        <v>26</v>
      </c>
      <c r="C127" s="521"/>
      <c r="E127" s="204" t="s">
        <v>27</v>
      </c>
      <c r="F127" s="239"/>
      <c r="G127" s="521" t="s">
        <v>28</v>
      </c>
      <c r="H127" s="521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9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8" t="s">
        <v>45</v>
      </c>
      <c r="B1" s="518"/>
      <c r="C1" s="518"/>
      <c r="D1" s="518"/>
      <c r="E1" s="518"/>
      <c r="F1" s="518"/>
      <c r="G1" s="518"/>
      <c r="H1" s="518"/>
      <c r="I1" s="518"/>
    </row>
    <row r="2" spans="1:9" ht="18.75" customHeight="1" x14ac:dyDescent="0.25">
      <c r="A2" s="518"/>
      <c r="B2" s="518"/>
      <c r="C2" s="518"/>
      <c r="D2" s="518"/>
      <c r="E2" s="518"/>
      <c r="F2" s="518"/>
      <c r="G2" s="518"/>
      <c r="H2" s="518"/>
      <c r="I2" s="518"/>
    </row>
    <row r="3" spans="1:9" ht="18.75" customHeight="1" x14ac:dyDescent="0.25">
      <c r="A3" s="518"/>
      <c r="B3" s="518"/>
      <c r="C3" s="518"/>
      <c r="D3" s="518"/>
      <c r="E3" s="518"/>
      <c r="F3" s="518"/>
      <c r="G3" s="518"/>
      <c r="H3" s="518"/>
      <c r="I3" s="518"/>
    </row>
    <row r="4" spans="1:9" ht="18.75" customHeight="1" x14ac:dyDescent="0.25">
      <c r="A4" s="518"/>
      <c r="B4" s="518"/>
      <c r="C4" s="518"/>
      <c r="D4" s="518"/>
      <c r="E4" s="518"/>
      <c r="F4" s="518"/>
      <c r="G4" s="518"/>
      <c r="H4" s="518"/>
      <c r="I4" s="518"/>
    </row>
    <row r="5" spans="1:9" ht="18.75" customHeight="1" x14ac:dyDescent="0.25">
      <c r="A5" s="518"/>
      <c r="B5" s="518"/>
      <c r="C5" s="518"/>
      <c r="D5" s="518"/>
      <c r="E5" s="518"/>
      <c r="F5" s="518"/>
      <c r="G5" s="518"/>
      <c r="H5" s="518"/>
      <c r="I5" s="518"/>
    </row>
    <row r="6" spans="1:9" ht="18.75" customHeight="1" x14ac:dyDescent="0.25">
      <c r="A6" s="518"/>
      <c r="B6" s="518"/>
      <c r="C6" s="518"/>
      <c r="D6" s="518"/>
      <c r="E6" s="518"/>
      <c r="F6" s="518"/>
      <c r="G6" s="518"/>
      <c r="H6" s="518"/>
      <c r="I6" s="518"/>
    </row>
    <row r="7" spans="1:9" ht="18.75" customHeight="1" x14ac:dyDescent="0.25">
      <c r="A7" s="518"/>
      <c r="B7" s="518"/>
      <c r="C7" s="518"/>
      <c r="D7" s="518"/>
      <c r="E7" s="518"/>
      <c r="F7" s="518"/>
      <c r="G7" s="518"/>
      <c r="H7" s="518"/>
      <c r="I7" s="518"/>
    </row>
    <row r="8" spans="1:9" x14ac:dyDescent="0.25">
      <c r="A8" s="519" t="s">
        <v>46</v>
      </c>
      <c r="B8" s="519"/>
      <c r="C8" s="519"/>
      <c r="D8" s="519"/>
      <c r="E8" s="519"/>
      <c r="F8" s="519"/>
      <c r="G8" s="519"/>
      <c r="H8" s="519"/>
      <c r="I8" s="519"/>
    </row>
    <row r="9" spans="1:9" x14ac:dyDescent="0.25">
      <c r="A9" s="519"/>
      <c r="B9" s="519"/>
      <c r="C9" s="519"/>
      <c r="D9" s="519"/>
      <c r="E9" s="519"/>
      <c r="F9" s="519"/>
      <c r="G9" s="519"/>
      <c r="H9" s="519"/>
      <c r="I9" s="519"/>
    </row>
    <row r="10" spans="1:9" x14ac:dyDescent="0.25">
      <c r="A10" s="519"/>
      <c r="B10" s="519"/>
      <c r="C10" s="519"/>
      <c r="D10" s="519"/>
      <c r="E10" s="519"/>
      <c r="F10" s="519"/>
      <c r="G10" s="519"/>
      <c r="H10" s="519"/>
      <c r="I10" s="519"/>
    </row>
    <row r="11" spans="1:9" x14ac:dyDescent="0.25">
      <c r="A11" s="519"/>
      <c r="B11" s="519"/>
      <c r="C11" s="519"/>
      <c r="D11" s="519"/>
      <c r="E11" s="519"/>
      <c r="F11" s="519"/>
      <c r="G11" s="519"/>
      <c r="H11" s="519"/>
      <c r="I11" s="519"/>
    </row>
    <row r="12" spans="1:9" x14ac:dyDescent="0.25">
      <c r="A12" s="519"/>
      <c r="B12" s="519"/>
      <c r="C12" s="519"/>
      <c r="D12" s="519"/>
      <c r="E12" s="519"/>
      <c r="F12" s="519"/>
      <c r="G12" s="519"/>
      <c r="H12" s="519"/>
      <c r="I12" s="519"/>
    </row>
    <row r="13" spans="1:9" x14ac:dyDescent="0.25">
      <c r="A13" s="519"/>
      <c r="B13" s="519"/>
      <c r="C13" s="519"/>
      <c r="D13" s="519"/>
      <c r="E13" s="519"/>
      <c r="F13" s="519"/>
      <c r="G13" s="519"/>
      <c r="H13" s="519"/>
      <c r="I13" s="519"/>
    </row>
    <row r="14" spans="1:9" x14ac:dyDescent="0.25">
      <c r="A14" s="519"/>
      <c r="B14" s="519"/>
      <c r="C14" s="519"/>
      <c r="D14" s="519"/>
      <c r="E14" s="519"/>
      <c r="F14" s="519"/>
      <c r="G14" s="519"/>
      <c r="H14" s="519"/>
      <c r="I14" s="519"/>
    </row>
    <row r="15" spans="1:9" ht="19.5" customHeight="1" x14ac:dyDescent="0.3">
      <c r="A15" s="286"/>
    </row>
    <row r="16" spans="1:9" ht="19.5" customHeight="1" x14ac:dyDescent="0.3">
      <c r="A16" s="490" t="s">
        <v>31</v>
      </c>
      <c r="B16" s="491"/>
      <c r="C16" s="491"/>
      <c r="D16" s="491"/>
      <c r="E16" s="491"/>
      <c r="F16" s="491"/>
      <c r="G16" s="491"/>
      <c r="H16" s="492"/>
    </row>
    <row r="17" spans="1:14" ht="20.25" customHeight="1" x14ac:dyDescent="0.25">
      <c r="A17" s="493" t="s">
        <v>47</v>
      </c>
      <c r="B17" s="493"/>
      <c r="C17" s="493"/>
      <c r="D17" s="493"/>
      <c r="E17" s="493"/>
      <c r="F17" s="493"/>
      <c r="G17" s="493"/>
      <c r="H17" s="493"/>
    </row>
    <row r="18" spans="1:14" ht="26.25" customHeight="1" x14ac:dyDescent="0.4">
      <c r="A18" s="288" t="s">
        <v>33</v>
      </c>
      <c r="B18" s="489" t="s">
        <v>5</v>
      </c>
      <c r="C18" s="489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94" t="s">
        <v>9</v>
      </c>
      <c r="C20" s="494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94" t="s">
        <v>11</v>
      </c>
      <c r="C21" s="494"/>
      <c r="D21" s="494"/>
      <c r="E21" s="494"/>
      <c r="F21" s="494"/>
      <c r="G21" s="494"/>
      <c r="H21" s="494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42944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88" t="s">
        <v>133</v>
      </c>
      <c r="C26" s="489"/>
    </row>
    <row r="27" spans="1:14" ht="26.25" customHeight="1" x14ac:dyDescent="0.4">
      <c r="A27" s="297" t="s">
        <v>48</v>
      </c>
      <c r="B27" s="495" t="s">
        <v>136</v>
      </c>
      <c r="C27" s="496"/>
    </row>
    <row r="28" spans="1:14" ht="27" customHeight="1" x14ac:dyDescent="0.4">
      <c r="A28" s="297" t="s">
        <v>6</v>
      </c>
      <c r="B28" s="298">
        <v>99.3</v>
      </c>
    </row>
    <row r="29" spans="1:14" s="14" customFormat="1" ht="27" customHeight="1" x14ac:dyDescent="0.4">
      <c r="A29" s="297" t="s">
        <v>49</v>
      </c>
      <c r="B29" s="299">
        <v>0</v>
      </c>
      <c r="C29" s="497" t="s">
        <v>50</v>
      </c>
      <c r="D29" s="498"/>
      <c r="E29" s="498"/>
      <c r="F29" s="498"/>
      <c r="G29" s="499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500" t="s">
        <v>53</v>
      </c>
      <c r="D31" s="501"/>
      <c r="E31" s="501"/>
      <c r="F31" s="501"/>
      <c r="G31" s="501"/>
      <c r="H31" s="502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500" t="s">
        <v>55</v>
      </c>
      <c r="D32" s="501"/>
      <c r="E32" s="501"/>
      <c r="F32" s="501"/>
      <c r="G32" s="501"/>
      <c r="H32" s="502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503" t="s">
        <v>59</v>
      </c>
      <c r="E36" s="504"/>
      <c r="F36" s="503" t="s">
        <v>60</v>
      </c>
      <c r="G36" s="505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2959699</v>
      </c>
      <c r="E38" s="321">
        <f>IF(ISBLANK(D38),"-",$D$48/$D$45*D38)</f>
        <v>2848125.122392823</v>
      </c>
      <c r="F38" s="320">
        <v>2587189</v>
      </c>
      <c r="G38" s="322">
        <f>IF(ISBLANK(F38),"-",$D$48/$F$45*F38)</f>
        <v>2888499.9877189104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2985248</v>
      </c>
      <c r="E39" s="326">
        <f>IF(ISBLANK(D39),"-",$D$48/$D$45*D39)</f>
        <v>2872710.9835739816</v>
      </c>
      <c r="F39" s="325">
        <v>2578996</v>
      </c>
      <c r="G39" s="327">
        <f>IF(ISBLANK(F39),"-",$D$48/$F$45*F39)</f>
        <v>2879352.8089084793</v>
      </c>
      <c r="I39" s="507">
        <f>ABS((F43/D43*D42)-F42)/D42</f>
        <v>8.9084741417207024E-3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2963395</v>
      </c>
      <c r="E40" s="326">
        <f>IF(ISBLANK(D40),"-",$D$48/$D$45*D40)</f>
        <v>2851681.7916528941</v>
      </c>
      <c r="F40" s="325">
        <v>2591459</v>
      </c>
      <c r="G40" s="327">
        <f>IF(ISBLANK(F40),"-",$D$48/$F$45*F40)</f>
        <v>2893267.2834006562</v>
      </c>
      <c r="I40" s="507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2969447.3333333335</v>
      </c>
      <c r="E42" s="336">
        <f>AVERAGE(E38:E41)</f>
        <v>2857505.9658732326</v>
      </c>
      <c r="F42" s="335">
        <f>AVERAGE(F38:F41)</f>
        <v>2585881.3333333335</v>
      </c>
      <c r="G42" s="337">
        <f>AVERAGE(G38:G41)</f>
        <v>2887040.0266760155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20.93</v>
      </c>
      <c r="E43" s="328"/>
      <c r="F43" s="340">
        <v>18.04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20.93</v>
      </c>
      <c r="E44" s="343"/>
      <c r="F44" s="342">
        <f>F43*$B$34</f>
        <v>18.04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20.783489999999997</v>
      </c>
      <c r="E45" s="346"/>
      <c r="F45" s="345">
        <f>F44*$B$30/100</f>
        <v>17.913719999999998</v>
      </c>
      <c r="H45" s="338"/>
    </row>
    <row r="46" spans="1:14" ht="19.5" customHeight="1" x14ac:dyDescent="0.3">
      <c r="A46" s="508" t="s">
        <v>78</v>
      </c>
      <c r="B46" s="509"/>
      <c r="C46" s="341" t="s">
        <v>79</v>
      </c>
      <c r="D46" s="347">
        <f>D45/$B$45</f>
        <v>3.3253583999999996E-2</v>
      </c>
      <c r="E46" s="348"/>
      <c r="F46" s="349">
        <f>F45/$B$45</f>
        <v>2.8661951999999997E-2</v>
      </c>
      <c r="H46" s="338"/>
    </row>
    <row r="47" spans="1:14" ht="27" customHeight="1" x14ac:dyDescent="0.4">
      <c r="A47" s="510"/>
      <c r="B47" s="511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2872272.996274624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6.5347901729435331E-3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contains: Sulphamethoxazole B.P. 800 mg and Trimethoprim B.P. 160 mg.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Sulfamethoxazole &amp; Trimethoprim</v>
      </c>
      <c r="H56" s="367"/>
    </row>
    <row r="57" spans="1:12" ht="18.75" x14ac:dyDescent="0.3">
      <c r="A57" s="364" t="s">
        <v>88</v>
      </c>
      <c r="B57" s="435">
        <f>Uniformity!C46</f>
        <v>1049.0545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12" t="s">
        <v>94</v>
      </c>
      <c r="D60" s="515">
        <f>Sulfamethoxazole!D60</f>
        <v>1054.67</v>
      </c>
      <c r="E60" s="370">
        <v>1</v>
      </c>
      <c r="F60" s="371"/>
      <c r="G60" s="436" t="str">
        <f>IF(ISBLANK(F60),"-",(F60/$D$50*$D$47*$B$68)*($B$57/$D$60))</f>
        <v>-</v>
      </c>
      <c r="H60" s="454" t="str">
        <f t="shared" ref="H60:H71" si="0">IF(ISBLANK(F60),"-",(G60/$B$56)*100)</f>
        <v>-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13"/>
      <c r="D61" s="516"/>
      <c r="E61" s="372">
        <v>2</v>
      </c>
      <c r="F61" s="325">
        <v>2885650</v>
      </c>
      <c r="G61" s="437">
        <f>IF(ISBLANK(F61),"-",(F61/$D$50*$D$47*$B$68)*($B$57/$D$60))</f>
        <v>159.88929228827405</v>
      </c>
      <c r="H61" s="455">
        <f t="shared" si="0"/>
        <v>99.930807680171284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13"/>
      <c r="D62" s="516"/>
      <c r="E62" s="372">
        <v>3</v>
      </c>
      <c r="F62" s="373">
        <v>2836927</v>
      </c>
      <c r="G62" s="437">
        <f>IF(ISBLANK(F62),"-",(F62/$D$50*$D$47*$B$68)*($B$57/$D$60))</f>
        <v>157.18962809193644</v>
      </c>
      <c r="H62" s="455">
        <f t="shared" si="0"/>
        <v>98.243517557460279</v>
      </c>
      <c r="L62" s="300"/>
    </row>
    <row r="63" spans="1:12" ht="27" customHeight="1" x14ac:dyDescent="0.4">
      <c r="A63" s="312" t="s">
        <v>97</v>
      </c>
      <c r="B63" s="313">
        <v>1</v>
      </c>
      <c r="C63" s="514"/>
      <c r="D63" s="517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12" t="s">
        <v>99</v>
      </c>
      <c r="D64" s="515">
        <f>Sulfamethoxazole!D64</f>
        <v>1060.52</v>
      </c>
      <c r="E64" s="370">
        <v>1</v>
      </c>
      <c r="F64" s="371"/>
      <c r="G64" s="436" t="str">
        <f>IF(ISBLANK(F64),"-",(F64/$D$50*$D$47*$B$68)*($B$57/$D$64))</f>
        <v>-</v>
      </c>
      <c r="H64" s="454" t="str">
        <f t="shared" si="0"/>
        <v>-</v>
      </c>
    </row>
    <row r="65" spans="1:8" ht="26.25" customHeight="1" x14ac:dyDescent="0.4">
      <c r="A65" s="312" t="s">
        <v>100</v>
      </c>
      <c r="B65" s="313">
        <v>1</v>
      </c>
      <c r="C65" s="513"/>
      <c r="D65" s="516"/>
      <c r="E65" s="372">
        <v>2</v>
      </c>
      <c r="F65" s="325">
        <v>2931626</v>
      </c>
      <c r="G65" s="437">
        <f>IF(ISBLANK(F65),"-",(F65/$D$50*$D$47*$B$68)*($B$57/$D$64))</f>
        <v>161.54072216269438</v>
      </c>
      <c r="H65" s="455">
        <f t="shared" si="0"/>
        <v>100.96295135168398</v>
      </c>
    </row>
    <row r="66" spans="1:8" ht="26.25" customHeight="1" x14ac:dyDescent="0.4">
      <c r="A66" s="312" t="s">
        <v>101</v>
      </c>
      <c r="B66" s="313">
        <v>1</v>
      </c>
      <c r="C66" s="513"/>
      <c r="D66" s="516"/>
      <c r="E66" s="372">
        <v>3</v>
      </c>
      <c r="F66" s="325">
        <v>2871646</v>
      </c>
      <c r="G66" s="437">
        <f>IF(ISBLANK(F66),"-",(F66/$D$50*$D$47*$B$68)*($B$57/$D$64))</f>
        <v>158.23565783480319</v>
      </c>
      <c r="H66" s="455">
        <f t="shared" si="0"/>
        <v>98.897286146751995</v>
      </c>
    </row>
    <row r="67" spans="1:8" ht="27" customHeight="1" x14ac:dyDescent="0.4">
      <c r="A67" s="312" t="s">
        <v>102</v>
      </c>
      <c r="B67" s="313">
        <v>1</v>
      </c>
      <c r="C67" s="514"/>
      <c r="D67" s="517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5000</v>
      </c>
      <c r="C68" s="512" t="s">
        <v>104</v>
      </c>
      <c r="D68" s="515">
        <f>Sulfamethoxazole!D68</f>
        <v>1046.57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x14ac:dyDescent="0.4">
      <c r="A69" s="360" t="s">
        <v>105</v>
      </c>
      <c r="B69" s="377">
        <f>(D47*B68)/B56*B57</f>
        <v>1049.0545</v>
      </c>
      <c r="C69" s="513"/>
      <c r="D69" s="516"/>
      <c r="E69" s="372">
        <v>2</v>
      </c>
      <c r="F69" s="325">
        <v>2826371</v>
      </c>
      <c r="G69" s="437">
        <f>IF(ISBLANK(F69),"-",(F69/$D$50*$D$47*$B$68)*($B$57/$D$68))</f>
        <v>157.81678992257426</v>
      </c>
      <c r="H69" s="455">
        <f t="shared" si="0"/>
        <v>98.635493701608908</v>
      </c>
    </row>
    <row r="70" spans="1:8" ht="26.25" customHeight="1" x14ac:dyDescent="0.4">
      <c r="A70" s="525" t="s">
        <v>78</v>
      </c>
      <c r="B70" s="526"/>
      <c r="C70" s="513"/>
      <c r="D70" s="516"/>
      <c r="E70" s="372">
        <v>3</v>
      </c>
      <c r="F70" s="325">
        <v>2772703</v>
      </c>
      <c r="G70" s="437">
        <f>IF(ISBLANK(F70),"-",(F70/$D$50*$D$47*$B$68)*($B$57/$D$68))</f>
        <v>154.82011627938843</v>
      </c>
      <c r="H70" s="455">
        <f t="shared" si="0"/>
        <v>96.762572674617758</v>
      </c>
    </row>
    <row r="71" spans="1:8" ht="27" customHeight="1" x14ac:dyDescent="0.4">
      <c r="A71" s="527"/>
      <c r="B71" s="528"/>
      <c r="C71" s="524"/>
      <c r="D71" s="517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158.2487010966118</v>
      </c>
      <c r="H72" s="457">
        <f>AVERAGE(H60:H71)</f>
        <v>98.905438185382366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1.4573180303448436E-2</v>
      </c>
      <c r="H73" s="441">
        <f>STDEV(H60:H71)/H72</f>
        <v>1.4573180303448461E-2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520" t="str">
        <f>B26</f>
        <v>Trimethoprim</v>
      </c>
      <c r="D76" s="520"/>
      <c r="E76" s="386" t="s">
        <v>108</v>
      </c>
      <c r="F76" s="386"/>
      <c r="G76" s="473">
        <f>H72</f>
        <v>98.905438185382366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6" t="str">
        <f>B26</f>
        <v>Trimethoprim</v>
      </c>
      <c r="C79" s="506"/>
    </row>
    <row r="80" spans="1:8" ht="26.25" customHeight="1" x14ac:dyDescent="0.4">
      <c r="A80" s="297" t="s">
        <v>48</v>
      </c>
      <c r="B80" s="506" t="str">
        <f>B27</f>
        <v>T7-4</v>
      </c>
      <c r="C80" s="506"/>
    </row>
    <row r="81" spans="1:12" ht="27" customHeight="1" x14ac:dyDescent="0.4">
      <c r="A81" s="297" t="s">
        <v>6</v>
      </c>
      <c r="B81" s="389">
        <f>B28</f>
        <v>99.3</v>
      </c>
    </row>
    <row r="82" spans="1:12" s="14" customFormat="1" ht="27" customHeight="1" x14ac:dyDescent="0.4">
      <c r="A82" s="297" t="s">
        <v>49</v>
      </c>
      <c r="B82" s="299">
        <v>0</v>
      </c>
      <c r="C82" s="497" t="s">
        <v>50</v>
      </c>
      <c r="D82" s="498"/>
      <c r="E82" s="498"/>
      <c r="F82" s="498"/>
      <c r="G82" s="499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99.3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500" t="s">
        <v>111</v>
      </c>
      <c r="D84" s="501"/>
      <c r="E84" s="501"/>
      <c r="F84" s="501"/>
      <c r="G84" s="501"/>
      <c r="H84" s="502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500" t="s">
        <v>112</v>
      </c>
      <c r="D85" s="501"/>
      <c r="E85" s="501"/>
      <c r="F85" s="501"/>
      <c r="G85" s="501"/>
      <c r="H85" s="502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503" t="s">
        <v>60</v>
      </c>
      <c r="G89" s="505"/>
    </row>
    <row r="90" spans="1:12" ht="27" customHeight="1" x14ac:dyDescent="0.4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320">
        <v>2959699</v>
      </c>
      <c r="E91" s="321">
        <f>IF(ISBLANK(D91),"-",$D$101/$D$98*D91)</f>
        <v>3164583.4693253585</v>
      </c>
      <c r="F91" s="320">
        <v>2587189</v>
      </c>
      <c r="G91" s="322">
        <f>IF(ISBLANK(F91),"-",$D$101/$F$98*F91)</f>
        <v>3209444.4307987895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2985248</v>
      </c>
      <c r="E92" s="326">
        <f>IF(ISBLANK(D92),"-",$D$101/$D$98*D92)</f>
        <v>3191901.0928599793</v>
      </c>
      <c r="F92" s="325">
        <v>2578996</v>
      </c>
      <c r="G92" s="327">
        <f>IF(ISBLANK(F92),"-",$D$101/$F$98*F92)</f>
        <v>3199280.8987871991</v>
      </c>
      <c r="I92" s="507">
        <f>ABS((F96/D96*D95)-F95)/D95</f>
        <v>8.9084741417207024E-3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2963395</v>
      </c>
      <c r="E93" s="326">
        <f>IF(ISBLANK(D93),"-",$D$101/$D$98*D93)</f>
        <v>3168535.3240587711</v>
      </c>
      <c r="F93" s="325">
        <v>2591459</v>
      </c>
      <c r="G93" s="327">
        <f>IF(ISBLANK(F93),"-",$D$101/$F$98*F93)</f>
        <v>3214741.4260007292</v>
      </c>
      <c r="I93" s="507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2969447.3333333335</v>
      </c>
      <c r="E95" s="336">
        <f>AVERAGE(E91:E94)</f>
        <v>3175006.6287480365</v>
      </c>
      <c r="F95" s="399">
        <f>AVERAGE(F91:F94)</f>
        <v>2585881.3333333335</v>
      </c>
      <c r="G95" s="400">
        <f>AVERAGE(G91:G94)</f>
        <v>3207822.2518622391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20.93</v>
      </c>
      <c r="E96" s="328"/>
      <c r="F96" s="340">
        <v>18.04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20.93</v>
      </c>
      <c r="E97" s="343"/>
      <c r="F97" s="342">
        <f>F96*$B$87</f>
        <v>18.04</v>
      </c>
    </row>
    <row r="98" spans="1:10" ht="19.5" customHeight="1" x14ac:dyDescent="0.3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20.783489999999997</v>
      </c>
      <c r="E98" s="346"/>
      <c r="F98" s="345">
        <f>F97*$B$83/100</f>
        <v>17.913719999999998</v>
      </c>
    </row>
    <row r="99" spans="1:10" ht="19.5" customHeight="1" x14ac:dyDescent="0.3">
      <c r="A99" s="508" t="s">
        <v>78</v>
      </c>
      <c r="B99" s="522"/>
      <c r="C99" s="403" t="s">
        <v>116</v>
      </c>
      <c r="D99" s="407">
        <f>D98/$B$98</f>
        <v>3.3253583999999996E-2</v>
      </c>
      <c r="E99" s="346"/>
      <c r="F99" s="349">
        <f>F98/$B$98</f>
        <v>2.8661951999999997E-2</v>
      </c>
      <c r="G99" s="408"/>
      <c r="H99" s="338"/>
    </row>
    <row r="100" spans="1:10" ht="19.5" customHeight="1" x14ac:dyDescent="0.3">
      <c r="A100" s="510"/>
      <c r="B100" s="523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3191414.4403051375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6.5347901729435809E-3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10</v>
      </c>
      <c r="C108" s="463">
        <v>1</v>
      </c>
      <c r="D108" s="464">
        <v>2680165</v>
      </c>
      <c r="E108" s="438">
        <f t="shared" ref="E108:E113" si="1">IF(ISBLANK(D108),"-",D108/$D$103*$D$100*$B$116)</f>
        <v>134.36875968982551</v>
      </c>
      <c r="F108" s="465">
        <f t="shared" ref="F108:F113" si="2">IF(ISBLANK(D108), "-", (E108/$B$56)*100)</f>
        <v>83.980474806140947</v>
      </c>
    </row>
    <row r="109" spans="1:10" ht="26.25" customHeight="1" x14ac:dyDescent="0.4">
      <c r="A109" s="312" t="s">
        <v>95</v>
      </c>
      <c r="B109" s="313">
        <v>50</v>
      </c>
      <c r="C109" s="459">
        <v>2</v>
      </c>
      <c r="D109" s="461">
        <v>2690079</v>
      </c>
      <c r="E109" s="439">
        <f t="shared" si="1"/>
        <v>134.86579322453883</v>
      </c>
      <c r="F109" s="466">
        <f t="shared" si="2"/>
        <v>84.291120765336771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2677444</v>
      </c>
      <c r="E110" s="439">
        <f t="shared" si="1"/>
        <v>134.23234368740924</v>
      </c>
      <c r="F110" s="466">
        <f t="shared" si="2"/>
        <v>83.895214804630783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2676232</v>
      </c>
      <c r="E111" s="439">
        <f t="shared" si="1"/>
        <v>134.17158066097466</v>
      </c>
      <c r="F111" s="466">
        <f t="shared" si="2"/>
        <v>83.857237913109159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2714804</v>
      </c>
      <c r="E112" s="439">
        <f t="shared" si="1"/>
        <v>136.10536899070655</v>
      </c>
      <c r="F112" s="466">
        <f t="shared" si="2"/>
        <v>85.065855619191595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2682852</v>
      </c>
      <c r="E113" s="440">
        <f t="shared" si="1"/>
        <v>134.50347111889295</v>
      </c>
      <c r="F113" s="467">
        <f t="shared" si="2"/>
        <v>84.064669449308099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134.70788622872462</v>
      </c>
      <c r="F115" s="469">
        <f>AVERAGE(F108:F113)</f>
        <v>84.19242889295289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5.4027866351171738E-3</v>
      </c>
      <c r="F116" s="423">
        <f>STDEV(F108:F113)/F115</f>
        <v>5.4027866351171539E-3</v>
      </c>
      <c r="I116" s="286"/>
    </row>
    <row r="117" spans="1:10" ht="27" customHeight="1" x14ac:dyDescent="0.4">
      <c r="A117" s="508" t="s">
        <v>78</v>
      </c>
      <c r="B117" s="509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10"/>
      <c r="B118" s="511"/>
      <c r="C118" s="286"/>
      <c r="D118" s="448"/>
      <c r="E118" s="486" t="s">
        <v>123</v>
      </c>
      <c r="F118" s="487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134.17158066097466</v>
      </c>
      <c r="F119" s="470">
        <f>MIN(F108:F113)</f>
        <v>83.857237913109159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136.10536899070655</v>
      </c>
      <c r="F120" s="471">
        <f>MAX(F108:F113)</f>
        <v>85.065855619191595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20" t="str">
        <f>B26</f>
        <v>Trimethoprim</v>
      </c>
      <c r="D124" s="520"/>
      <c r="E124" s="386" t="s">
        <v>127</v>
      </c>
      <c r="F124" s="386"/>
      <c r="G124" s="472">
        <f>F115</f>
        <v>84.19242889295289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83.857237913109159</v>
      </c>
      <c r="E125" s="397" t="s">
        <v>130</v>
      </c>
      <c r="F125" s="472">
        <f>MAX(F108:F113)</f>
        <v>85.065855619191595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21" t="s">
        <v>26</v>
      </c>
      <c r="C127" s="521"/>
      <c r="E127" s="392" t="s">
        <v>27</v>
      </c>
      <c r="F127" s="427"/>
      <c r="G127" s="521" t="s">
        <v>28</v>
      </c>
      <c r="H127" s="521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29" sqref="E29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75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20.93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B20/25*4/100</f>
        <v>3.3487999999999997E-2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2954956</v>
      </c>
      <c r="C24" s="18">
        <v>5265.9</v>
      </c>
      <c r="D24" s="19">
        <v>1.3</v>
      </c>
      <c r="E24" s="20">
        <v>4.9000000000000004</v>
      </c>
    </row>
    <row r="25" spans="1:5" ht="16.5" customHeight="1" x14ac:dyDescent="0.3">
      <c r="A25" s="17">
        <v>2</v>
      </c>
      <c r="B25" s="18">
        <v>2967741</v>
      </c>
      <c r="C25" s="18">
        <v>5340.3</v>
      </c>
      <c r="D25" s="19">
        <v>1.3</v>
      </c>
      <c r="E25" s="19">
        <v>4.9000000000000004</v>
      </c>
    </row>
    <row r="26" spans="1:5" ht="16.5" customHeight="1" x14ac:dyDescent="0.3">
      <c r="A26" s="17">
        <v>3</v>
      </c>
      <c r="B26" s="18">
        <v>2963784</v>
      </c>
      <c r="C26" s="18">
        <v>5371.6</v>
      </c>
      <c r="D26" s="19">
        <v>1.3</v>
      </c>
      <c r="E26" s="19">
        <v>4.9000000000000004</v>
      </c>
    </row>
    <row r="27" spans="1:5" ht="16.5" customHeight="1" x14ac:dyDescent="0.3">
      <c r="A27" s="17">
        <v>4</v>
      </c>
      <c r="B27" s="18">
        <v>2957815</v>
      </c>
      <c r="C27" s="18">
        <v>5448.5</v>
      </c>
      <c r="D27" s="19">
        <v>1.3</v>
      </c>
      <c r="E27" s="19">
        <v>4.9000000000000004</v>
      </c>
    </row>
    <row r="28" spans="1:5" ht="16.5" customHeight="1" x14ac:dyDescent="0.3">
      <c r="A28" s="17">
        <v>5</v>
      </c>
      <c r="B28" s="18">
        <v>2959709</v>
      </c>
      <c r="C28" s="18">
        <v>5472.9</v>
      </c>
      <c r="D28" s="19">
        <v>1.3</v>
      </c>
      <c r="E28" s="19">
        <v>4.9000000000000004</v>
      </c>
    </row>
    <row r="29" spans="1:5" ht="16.5" customHeight="1" x14ac:dyDescent="0.3">
      <c r="A29" s="17">
        <v>6</v>
      </c>
      <c r="B29" s="21">
        <v>2949656</v>
      </c>
      <c r="C29" s="21">
        <v>5497.6</v>
      </c>
      <c r="D29" s="22">
        <v>1.3</v>
      </c>
      <c r="E29" s="22">
        <v>4.9000000000000004</v>
      </c>
    </row>
    <row r="30" spans="1:5" ht="16.5" customHeight="1" x14ac:dyDescent="0.3">
      <c r="A30" s="23" t="s">
        <v>18</v>
      </c>
      <c r="B30" s="24">
        <f>AVERAGE(B24:B29)</f>
        <v>2958943.5</v>
      </c>
      <c r="C30" s="25">
        <f>AVERAGE(C24:C29)</f>
        <v>5399.4666666666672</v>
      </c>
      <c r="D30" s="26">
        <f>AVERAGE(D24:D29)</f>
        <v>1.3</v>
      </c>
      <c r="E30" s="26">
        <f>AVERAGE(E24:E29)</f>
        <v>4.8999999999999995</v>
      </c>
    </row>
    <row r="31" spans="1:5" ht="16.5" customHeight="1" x14ac:dyDescent="0.3">
      <c r="A31" s="27" t="s">
        <v>19</v>
      </c>
      <c r="B31" s="28">
        <f>(STDEV(B24:B29)/B30)</f>
        <v>2.1631652435791225E-3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20.93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B41/25*4/100</f>
        <v>3.3487999999999997E-2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2954956</v>
      </c>
      <c r="C45" s="18">
        <v>5265.9</v>
      </c>
      <c r="D45" s="19">
        <v>1.3</v>
      </c>
      <c r="E45" s="20">
        <v>4.9000000000000004</v>
      </c>
    </row>
    <row r="46" spans="1:5" ht="16.5" customHeight="1" x14ac:dyDescent="0.3">
      <c r="A46" s="17">
        <v>2</v>
      </c>
      <c r="B46" s="18">
        <v>2967741</v>
      </c>
      <c r="C46" s="18">
        <v>5340.3</v>
      </c>
      <c r="D46" s="19">
        <v>1.3</v>
      </c>
      <c r="E46" s="19">
        <v>4.9000000000000004</v>
      </c>
    </row>
    <row r="47" spans="1:5" ht="16.5" customHeight="1" x14ac:dyDescent="0.3">
      <c r="A47" s="17">
        <v>3</v>
      </c>
      <c r="B47" s="18">
        <v>2963784</v>
      </c>
      <c r="C47" s="18">
        <v>5371.6</v>
      </c>
      <c r="D47" s="19">
        <v>1.3</v>
      </c>
      <c r="E47" s="19">
        <v>4.9000000000000004</v>
      </c>
    </row>
    <row r="48" spans="1:5" ht="16.5" customHeight="1" x14ac:dyDescent="0.3">
      <c r="A48" s="17">
        <v>4</v>
      </c>
      <c r="B48" s="18">
        <v>2957815</v>
      </c>
      <c r="C48" s="18">
        <v>5448.5</v>
      </c>
      <c r="D48" s="19">
        <v>1.3</v>
      </c>
      <c r="E48" s="19">
        <v>4.9000000000000004</v>
      </c>
    </row>
    <row r="49" spans="1:7" ht="16.5" customHeight="1" x14ac:dyDescent="0.3">
      <c r="A49" s="17">
        <v>5</v>
      </c>
      <c r="B49" s="18">
        <v>2959709</v>
      </c>
      <c r="C49" s="18">
        <v>5472.9</v>
      </c>
      <c r="D49" s="19">
        <v>1.3</v>
      </c>
      <c r="E49" s="19">
        <v>4.9000000000000004</v>
      </c>
    </row>
    <row r="50" spans="1:7" ht="16.5" customHeight="1" x14ac:dyDescent="0.3">
      <c r="A50" s="17">
        <v>6</v>
      </c>
      <c r="B50" s="21">
        <v>2949656</v>
      </c>
      <c r="C50" s="21">
        <v>5497.6</v>
      </c>
      <c r="D50" s="22">
        <v>1.3</v>
      </c>
      <c r="E50" s="22">
        <v>4.9000000000000004</v>
      </c>
    </row>
    <row r="51" spans="1:7" ht="16.5" customHeight="1" x14ac:dyDescent="0.3">
      <c r="A51" s="23" t="s">
        <v>18</v>
      </c>
      <c r="B51" s="24">
        <f>AVERAGE(B45:B50)</f>
        <v>2958943.5</v>
      </c>
      <c r="C51" s="25">
        <f>AVERAGE(C45:C50)</f>
        <v>5399.4666666666672</v>
      </c>
      <c r="D51" s="26">
        <f>AVERAGE(D45:D50)</f>
        <v>1.3</v>
      </c>
      <c r="E51" s="26">
        <f>AVERAGE(E45:E50)</f>
        <v>4.8999999999999995</v>
      </c>
    </row>
    <row r="52" spans="1:7" ht="16.5" customHeight="1" x14ac:dyDescent="0.3">
      <c r="A52" s="27" t="s">
        <v>19</v>
      </c>
      <c r="B52" s="28">
        <f>(STDEV(B45:B50)/B51)</f>
        <v>2.1631652435791225E-3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7" t="s">
        <v>26</v>
      </c>
      <c r="C59" s="477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Uniformity</vt:lpstr>
      <vt:lpstr>Sulfamethoxazole</vt:lpstr>
      <vt:lpstr>Trimethoprim</vt:lpstr>
      <vt:lpstr>sst trim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2017-08-04T08:08:26Z</cp:lastPrinted>
  <dcterms:created xsi:type="dcterms:W3CDTF">2005-07-05T10:19:27Z</dcterms:created>
  <dcterms:modified xsi:type="dcterms:W3CDTF">2017-08-04T08:11:21Z</dcterms:modified>
</cp:coreProperties>
</file>