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Ritonavir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4" i="3" l="1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C49" i="2"/>
  <c r="C46" i="2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F44" i="3"/>
  <c r="F45" i="3" s="1"/>
  <c r="F46" i="3" s="1"/>
  <c r="D49" i="3"/>
  <c r="D101" i="3"/>
  <c r="I92" i="3"/>
  <c r="G40" i="3"/>
  <c r="G41" i="3"/>
  <c r="E38" i="3"/>
  <c r="D46" i="3"/>
  <c r="E39" i="3"/>
  <c r="D102" i="3"/>
  <c r="F98" i="3"/>
  <c r="F99" i="3" s="1"/>
  <c r="D24" i="2"/>
  <c r="D28" i="2"/>
  <c r="D32" i="2"/>
  <c r="D36" i="2"/>
  <c r="D40" i="2"/>
  <c r="D49" i="2"/>
  <c r="G39" i="3"/>
  <c r="E41" i="3"/>
  <c r="B57" i="3"/>
  <c r="B69" i="3" s="1"/>
  <c r="D97" i="3"/>
  <c r="D98" i="3" s="1"/>
  <c r="D99" i="3" s="1"/>
  <c r="C50" i="2"/>
  <c r="D26" i="2"/>
  <c r="D30" i="2"/>
  <c r="D34" i="2"/>
  <c r="D38" i="2"/>
  <c r="D42" i="2"/>
  <c r="B49" i="2"/>
  <c r="D50" i="2"/>
  <c r="G38" i="3"/>
  <c r="E40" i="3"/>
  <c r="G42" i="3" l="1"/>
  <c r="G94" i="3"/>
  <c r="G93" i="3"/>
  <c r="D50" i="3"/>
  <c r="E42" i="3"/>
  <c r="D52" i="3"/>
  <c r="G92" i="3"/>
  <c r="G91" i="3"/>
  <c r="E94" i="3"/>
  <c r="E93" i="3"/>
  <c r="E91" i="3"/>
  <c r="E92" i="3"/>
  <c r="G95" i="3" l="1"/>
  <c r="E95" i="3"/>
  <c r="D105" i="3"/>
  <c r="D103" i="3"/>
  <c r="G68" i="3"/>
  <c r="H68" i="3" s="1"/>
  <c r="G65" i="3"/>
  <c r="H65" i="3" s="1"/>
  <c r="G61" i="3"/>
  <c r="H61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3" i="3"/>
  <c r="H63" i="3" s="1"/>
  <c r="E112" i="3" l="1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G74" i="3"/>
  <c r="G72" i="3"/>
  <c r="G73" i="3" s="1"/>
  <c r="E115" i="3" l="1"/>
  <c r="E116" i="3" s="1"/>
  <c r="E119" i="3"/>
  <c r="E120" i="3"/>
  <c r="E117" i="3"/>
  <c r="F108" i="3"/>
  <c r="H74" i="3"/>
  <c r="H72" i="3"/>
  <c r="G76" i="3" l="1"/>
  <c r="H73" i="3"/>
  <c r="F119" i="3"/>
  <c r="F125" i="3"/>
  <c r="F120" i="3"/>
  <c r="F117" i="3"/>
  <c r="D125" i="3"/>
  <c r="F115" i="3"/>
  <c r="G124" i="3" l="1"/>
  <c r="F116" i="3"/>
</calcChain>
</file>

<file path=xl/sharedStrings.xml><?xml version="1.0" encoding="utf-8"?>
<sst xmlns="http://schemas.openxmlformats.org/spreadsheetml/2006/main" count="243" uniqueCount="136">
  <si>
    <t>HPLC System Suitability Report</t>
  </si>
  <si>
    <t>Analysis Data</t>
  </si>
  <si>
    <t>Assay</t>
  </si>
  <si>
    <t>Sample(s)</t>
  </si>
  <si>
    <t>Reference Substance:</t>
  </si>
  <si>
    <t>NORVIR 100 MG</t>
  </si>
  <si>
    <t>% age Purity:</t>
  </si>
  <si>
    <t>NDQB201708094</t>
  </si>
  <si>
    <t>Weight (mg):</t>
  </si>
  <si>
    <t>Ritonavir 100 mg</t>
  </si>
  <si>
    <t>Standard Conc (mg/mL):</t>
  </si>
  <si>
    <t>each film coated tablets contains 100 mg ritonavir</t>
  </si>
  <si>
    <t>2017-08-02 11:58:16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</si>
  <si>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</si>
  <si>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</si>
  <si>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</si>
  <si>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</si>
  <si>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</si>
  <si>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</si>
  <si>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</si>
  <si>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</si>
  <si>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</si>
  <si>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</si>
  <si>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</si>
  <si>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</si>
  <si>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</si>
  <si>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</si>
  <si>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</si>
  <si>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</si>
  <si>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</si>
  <si>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</si>
  <si>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</si>
  <si>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</si>
  <si>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</si>
  <si>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</si>
  <si>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</si>
  <si>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</si>
  <si>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</si>
  <si>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</si>
  <si>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</si>
  <si>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</si>
  <si>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</si>
  <si>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</si>
  <si>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</si>
  <si>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</si>
  <si>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</si>
  <si>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</si>
  <si>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</si>
  <si>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</si>
  <si>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</si>
  <si>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</si>
  <si>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</si>
  <si>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</si>
  <si>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</si>
  <si>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</si>
  <si>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</si>
  <si>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</si>
  <si>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</si>
  <si>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</si>
  <si>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</si>
  <si>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</si>
  <si>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</si>
  <si>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</si>
  <si>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</si>
  <si>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</si>
  <si>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</si>
  <si>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</si>
  <si>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</si>
  <si>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</si>
  <si>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</si>
  <si>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</si>
  <si>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</si>
  <si>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</si>
  <si>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</si>
  <si>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</si>
  <si>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</si>
  <si>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</si>
  <si>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</si>
  <si>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</si>
  <si>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</si>
  <si>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</si>
  <si>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</si>
  <si>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</si>
  <si>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</si>
  <si>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</si>
  <si>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</si>
  <si>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</si>
  <si>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</si>
  <si>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</si>
  <si>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</si>
  <si>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</si>
  <si>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</si>
  <si>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</si>
  <si>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</si>
  <si>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</si>
  <si>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</si>
  <si>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</si>
  <si>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</si>
  <si>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</si>
  <si>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</si>
  <si>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</si>
  <si>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</si>
  <si>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</si>
  <si>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</si>
  <si>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</si>
  <si>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</si>
  <si>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</si>
  <si>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</si>
  <si>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</si>
  <si>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</si>
  <si>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</si>
  <si>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</si>
  <si>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</si>
  <si>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</si>
  <si>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</si>
  <si>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</si>
  <si>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</si>
  <si>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</si>
  <si>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</si>
  <si>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</si>
  <si>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</si>
  <si>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</si>
  <si>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</si>
  <si>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</si>
  <si>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</si>
  <si>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</si>
  <si>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</si>
  <si>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</si>
  <si>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</si>
  <si>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</si>
  <si>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</si>
  <si>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RITONAVIR</t>
  </si>
  <si>
    <t>R6-1</t>
  </si>
  <si>
    <t>R14-2</t>
  </si>
  <si>
    <t>PETER NGUMO</t>
  </si>
  <si>
    <t>19TH DEC.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</si>
</sst>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zoomScale="86" zoomScaleNormal="86" workbookViewId="0">
      <selection activeCell="A14" sqref="A14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10.39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9486561</v>
      </c>
      <c r="C24" s="18">
        <v>5310.2</v>
      </c>
      <c r="D24" s="19">
        <v>0.9</v>
      </c>
      <c r="E24" s="20">
        <v>3.7</v>
      </c>
    </row>
    <row r="25" spans="1:6" ht="16.5" customHeight="1" x14ac:dyDescent="0.3">
      <c r="A25" s="17">
        <v>2</v>
      </c>
      <c r="B25" s="18">
        <v>9478855</v>
      </c>
      <c r="C25" s="18">
        <v>5236</v>
      </c>
      <c r="D25" s="19">
        <v>0.9</v>
      </c>
      <c r="E25" s="19">
        <v>3.6</v>
      </c>
    </row>
    <row r="26" spans="1:6" ht="16.5" customHeight="1" x14ac:dyDescent="0.3">
      <c r="A26" s="17">
        <v>3</v>
      </c>
      <c r="B26" s="18">
        <v>9556851</v>
      </c>
      <c r="C26" s="18">
        <v>5271.9</v>
      </c>
      <c r="D26" s="19">
        <v>0.9</v>
      </c>
      <c r="E26" s="19">
        <v>3.6</v>
      </c>
    </row>
    <row r="27" spans="1:6" ht="16.5" customHeight="1" x14ac:dyDescent="0.3">
      <c r="A27" s="17">
        <v>4</v>
      </c>
      <c r="B27" s="18">
        <v>9515134</v>
      </c>
      <c r="C27" s="18">
        <v>5262.1</v>
      </c>
      <c r="D27" s="19">
        <v>0.9</v>
      </c>
      <c r="E27" s="19">
        <v>3.6</v>
      </c>
    </row>
    <row r="28" spans="1:6" ht="16.5" customHeight="1" x14ac:dyDescent="0.3">
      <c r="A28" s="17">
        <v>5</v>
      </c>
      <c r="B28" s="18">
        <v>9575748</v>
      </c>
      <c r="C28" s="18">
        <v>5261.9</v>
      </c>
      <c r="D28" s="19">
        <v>0.9</v>
      </c>
      <c r="E28" s="19">
        <v>3.6</v>
      </c>
    </row>
    <row r="29" spans="1:6" ht="16.5" customHeight="1" x14ac:dyDescent="0.3">
      <c r="A29" s="17">
        <v>6</v>
      </c>
      <c r="B29" s="21">
        <v>9553108</v>
      </c>
      <c r="C29" s="21">
        <v>5252.1</v>
      </c>
      <c r="D29" s="22">
        <v>0.9</v>
      </c>
      <c r="E29" s="22">
        <v>3.6</v>
      </c>
    </row>
    <row r="30" spans="1:6" ht="16.5" customHeight="1" x14ac:dyDescent="0.3">
      <c r="A30" s="23" t="s">
        <v>18</v>
      </c>
      <c r="B30" s="24">
        <f>AVERAGE(B24:B29)</f>
        <v>9527709.5</v>
      </c>
      <c r="C30" s="25">
        <f>AVERAGE(C24:C29)</f>
        <v>5265.7</v>
      </c>
      <c r="D30" s="26">
        <f>AVERAGE(D24:D29)</f>
        <v>0.9</v>
      </c>
      <c r="E30" s="26">
        <f>AVERAGE(E24:E29)</f>
        <v>3.6166666666666671</v>
      </c>
    </row>
    <row r="31" spans="1:6" ht="16.5" customHeight="1" x14ac:dyDescent="0.3">
      <c r="A31" s="27" t="s">
        <v>19</v>
      </c>
      <c r="B31" s="28">
        <f>(STDEV(B24:B29)/B30)</f>
        <v>4.2087929352131494E-3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809.93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57543229</v>
      </c>
      <c r="C45" s="18">
        <v>13868.7</v>
      </c>
      <c r="D45" s="19">
        <v>1.01</v>
      </c>
      <c r="E45" s="20">
        <v>15.4</v>
      </c>
    </row>
    <row r="46" spans="1:6" ht="16.5" customHeight="1" x14ac:dyDescent="0.3">
      <c r="A46" s="17">
        <v>2</v>
      </c>
      <c r="B46" s="18">
        <v>57692713</v>
      </c>
      <c r="C46" s="18">
        <v>13988.54</v>
      </c>
      <c r="D46" s="19">
        <v>1.03</v>
      </c>
      <c r="E46" s="19">
        <v>15.4</v>
      </c>
    </row>
    <row r="47" spans="1:6" ht="16.5" customHeight="1" x14ac:dyDescent="0.3">
      <c r="A47" s="17">
        <v>3</v>
      </c>
      <c r="B47" s="18">
        <v>57757312</v>
      </c>
      <c r="C47" s="18">
        <v>13956.48</v>
      </c>
      <c r="D47" s="19">
        <v>1.01</v>
      </c>
      <c r="E47" s="19">
        <v>15.41</v>
      </c>
    </row>
    <row r="48" spans="1:6" ht="16.5" customHeight="1" x14ac:dyDescent="0.3">
      <c r="A48" s="17">
        <v>4</v>
      </c>
      <c r="B48" s="18">
        <v>57746078</v>
      </c>
      <c r="C48" s="18">
        <v>13976.25</v>
      </c>
      <c r="D48" s="19">
        <v>1.03</v>
      </c>
      <c r="E48" s="19">
        <v>15.41</v>
      </c>
    </row>
    <row r="49" spans="1:7" ht="16.5" customHeight="1" x14ac:dyDescent="0.3">
      <c r="A49" s="17">
        <v>5</v>
      </c>
      <c r="B49" s="18">
        <v>57787804</v>
      </c>
      <c r="C49" s="18">
        <v>13953.3</v>
      </c>
      <c r="D49" s="19">
        <v>1.02</v>
      </c>
      <c r="E49" s="19">
        <v>15.42</v>
      </c>
    </row>
    <row r="50" spans="1:7" ht="16.5" customHeight="1" x14ac:dyDescent="0.3">
      <c r="A50" s="17">
        <v>6</v>
      </c>
      <c r="B50" s="21">
        <v>57754275</v>
      </c>
      <c r="C50" s="21">
        <v>13927.26</v>
      </c>
      <c r="D50" s="22">
        <v>1.02</v>
      </c>
      <c r="E50" s="22">
        <v>15.43</v>
      </c>
    </row>
    <row r="51" spans="1:7" ht="16.5" customHeight="1" x14ac:dyDescent="0.3">
      <c r="A51" s="23" t="s">
        <v>18</v>
      </c>
      <c r="B51" s="24">
        <f>AVERAGE(B45:B50)</f>
        <v>57713568.5</v>
      </c>
      <c r="C51" s="25">
        <f>AVERAGE(C45:C50)</f>
        <v>13945.088333333333</v>
      </c>
      <c r="D51" s="26">
        <f>AVERAGE(D45:D50)</f>
        <v>1.0199999999999998</v>
      </c>
      <c r="E51" s="26">
        <f>AVERAGE(E45:E50)</f>
        <v>15.411666666666667</v>
      </c>
    </row>
    <row r="52" spans="1:7" ht="16.5" customHeight="1" x14ac:dyDescent="0.3">
      <c r="A52" s="27" t="s">
        <v>19</v>
      </c>
      <c r="B52" s="28">
        <f>(STDEV(B45:B50)/B51)</f>
        <v>1.5417826991997352E-3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134</v>
      </c>
      <c r="C60" s="48"/>
      <c r="E60" s="48" t="s">
        <v>135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4" zoomScale="84" zoomScaleSheetLayoutView="84" workbookViewId="0">
      <selection activeCell="B10" sqref="A10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799.65</v>
      </c>
      <c r="D24" s="87">
        <f t="shared" ref="D24:D43" si="0">(C24-$C$46)/$C$46</f>
        <v>3.9806423140836336E-3</v>
      </c>
      <c r="E24" s="53"/>
    </row>
    <row r="25" spans="1:5" ht="15.75" customHeight="1" x14ac:dyDescent="0.3">
      <c r="C25" s="95">
        <v>797.64</v>
      </c>
      <c r="D25" s="88">
        <f t="shared" si="0"/>
        <v>1.4570368728889871E-3</v>
      </c>
      <c r="E25" s="53"/>
    </row>
    <row r="26" spans="1:5" ht="15.75" customHeight="1" x14ac:dyDescent="0.3">
      <c r="C26" s="95">
        <v>805.69</v>
      </c>
      <c r="D26" s="88">
        <f t="shared" si="0"/>
        <v>1.1564013888618921E-2</v>
      </c>
      <c r="E26" s="53"/>
    </row>
    <row r="27" spans="1:5" ht="15.75" customHeight="1" x14ac:dyDescent="0.3">
      <c r="C27" s="95">
        <v>796.81</v>
      </c>
      <c r="D27" s="88">
        <f t="shared" si="0"/>
        <v>4.1495104393790783E-4</v>
      </c>
      <c r="E27" s="53"/>
    </row>
    <row r="28" spans="1:5" ht="15.75" customHeight="1" x14ac:dyDescent="0.3">
      <c r="C28" s="95">
        <v>796.59</v>
      </c>
      <c r="D28" s="88">
        <f t="shared" si="0"/>
        <v>1.3873552301123785E-4</v>
      </c>
      <c r="E28" s="53"/>
    </row>
    <row r="29" spans="1:5" ht="15.75" customHeight="1" x14ac:dyDescent="0.3">
      <c r="C29" s="95">
        <v>793.67</v>
      </c>
      <c r="D29" s="88">
        <f t="shared" si="0"/>
        <v>-3.5273977547442769E-3</v>
      </c>
      <c r="E29" s="53"/>
    </row>
    <row r="30" spans="1:5" ht="15.75" customHeight="1" x14ac:dyDescent="0.3">
      <c r="C30" s="95">
        <v>802.53</v>
      </c>
      <c r="D30" s="88">
        <f t="shared" si="0"/>
        <v>7.5965545880341823E-3</v>
      </c>
      <c r="E30" s="53"/>
    </row>
    <row r="31" spans="1:5" ht="15.75" customHeight="1" x14ac:dyDescent="0.3">
      <c r="C31" s="95">
        <v>792.11</v>
      </c>
      <c r="D31" s="88">
        <f t="shared" si="0"/>
        <v>-5.4860169031340925E-3</v>
      </c>
      <c r="E31" s="53"/>
    </row>
    <row r="32" spans="1:5" ht="15.75" customHeight="1" x14ac:dyDescent="0.3">
      <c r="C32" s="95">
        <v>797.3</v>
      </c>
      <c r="D32" s="88">
        <f t="shared" si="0"/>
        <v>1.0301583405475621E-3</v>
      </c>
      <c r="E32" s="53"/>
    </row>
    <row r="33" spans="1:7" ht="15.75" customHeight="1" x14ac:dyDescent="0.3">
      <c r="C33" s="95">
        <v>802.86</v>
      </c>
      <c r="D33" s="88">
        <f t="shared" si="0"/>
        <v>8.0108778694244018E-3</v>
      </c>
      <c r="E33" s="53"/>
    </row>
    <row r="34" spans="1:7" ht="15.75" customHeight="1" x14ac:dyDescent="0.3">
      <c r="C34" s="95">
        <v>795.45</v>
      </c>
      <c r="D34" s="88">
        <f t="shared" si="0"/>
        <v>-1.2925630854275063E-3</v>
      </c>
      <c r="E34" s="53"/>
    </row>
    <row r="35" spans="1:7" ht="15.75" customHeight="1" x14ac:dyDescent="0.3">
      <c r="C35" s="95">
        <v>791.74</v>
      </c>
      <c r="D35" s="88">
        <f t="shared" si="0"/>
        <v>-5.9505611883291345E-3</v>
      </c>
      <c r="E35" s="53"/>
    </row>
    <row r="36" spans="1:7" ht="15.75" customHeight="1" x14ac:dyDescent="0.3">
      <c r="C36" s="95">
        <v>801.58</v>
      </c>
      <c r="D36" s="88">
        <f t="shared" si="0"/>
        <v>6.4038057476686339E-3</v>
      </c>
      <c r="E36" s="53"/>
    </row>
    <row r="37" spans="1:7" ht="15.75" customHeight="1" x14ac:dyDescent="0.3">
      <c r="C37" s="95">
        <v>792.38</v>
      </c>
      <c r="D37" s="88">
        <f t="shared" si="0"/>
        <v>-5.1470251274512505E-3</v>
      </c>
      <c r="E37" s="53"/>
    </row>
    <row r="38" spans="1:7" ht="15.75" customHeight="1" x14ac:dyDescent="0.3">
      <c r="C38" s="95">
        <v>785.97</v>
      </c>
      <c r="D38" s="88">
        <f t="shared" si="0"/>
        <v>-1.3194940987181438E-2</v>
      </c>
      <c r="E38" s="53"/>
    </row>
    <row r="39" spans="1:7" ht="15.75" customHeight="1" x14ac:dyDescent="0.3">
      <c r="C39" s="95">
        <v>796</v>
      </c>
      <c r="D39" s="88">
        <f t="shared" si="0"/>
        <v>-6.0202428311061714E-4</v>
      </c>
      <c r="E39" s="53"/>
    </row>
    <row r="40" spans="1:7" ht="15.75" customHeight="1" x14ac:dyDescent="0.3">
      <c r="C40" s="95">
        <v>791.02</v>
      </c>
      <c r="D40" s="88">
        <f t="shared" si="0"/>
        <v>-6.8545392568168072E-3</v>
      </c>
      <c r="E40" s="53"/>
    </row>
    <row r="41" spans="1:7" ht="15.75" customHeight="1" x14ac:dyDescent="0.3">
      <c r="C41" s="95">
        <v>806.06</v>
      </c>
      <c r="D41" s="88">
        <f t="shared" si="0"/>
        <v>1.2028558173813821E-2</v>
      </c>
      <c r="E41" s="53"/>
    </row>
    <row r="42" spans="1:7" ht="15.75" customHeight="1" x14ac:dyDescent="0.3">
      <c r="C42" s="95">
        <v>790.88</v>
      </c>
      <c r="D42" s="88">
        <f t="shared" si="0"/>
        <v>-7.0303127701338312E-3</v>
      </c>
      <c r="E42" s="53"/>
    </row>
    <row r="43" spans="1:7" ht="16.5" customHeight="1" x14ac:dyDescent="0.3">
      <c r="C43" s="96">
        <v>793.66</v>
      </c>
      <c r="D43" s="89">
        <f t="shared" si="0"/>
        <v>-3.5399530056954825E-3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15929.589999999997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796.4794999999998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796.4794999999998</v>
      </c>
      <c r="C49" s="93">
        <f>-IF(C46&lt;=80,10%,IF(C46&lt;250,7.5%,5%))</f>
        <v>-0.05</v>
      </c>
      <c r="D49" s="81">
        <f>IF(C46&lt;=80,C46*0.9,IF(C46&lt;250,C46*0.925,C46*0.95))</f>
        <v>756.65552499999978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836.30347499999982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15" zoomScale="49" zoomScaleNormal="40" zoomScalePageLayoutView="49" workbookViewId="0">
      <selection activeCell="H137" sqref="H13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9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43088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131</v>
      </c>
      <c r="C26" s="298"/>
    </row>
    <row r="27" spans="1:14" ht="26.25" customHeight="1" x14ac:dyDescent="0.4">
      <c r="A27" s="109" t="s">
        <v>48</v>
      </c>
      <c r="B27" s="304" t="s">
        <v>133</v>
      </c>
      <c r="C27" s="304"/>
    </row>
    <row r="28" spans="1:14" ht="27" customHeight="1" x14ac:dyDescent="0.4">
      <c r="A28" s="109" t="s">
        <v>6</v>
      </c>
      <c r="B28" s="110">
        <v>99.4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9445968</v>
      </c>
      <c r="E38" s="133">
        <f>IF(ISBLANK(D38),"-",$D$48/$D$45*D38)</f>
        <v>9146280.9581260402</v>
      </c>
      <c r="F38" s="132">
        <v>10152790</v>
      </c>
      <c r="G38" s="134">
        <f>IF(ISBLANK(F38),"-",$D$48/$F$45*F38)</f>
        <v>9193586.3606481366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9460753</v>
      </c>
      <c r="E39" s="138">
        <f>IF(ISBLANK(D39),"-",$D$48/$D$45*D39)</f>
        <v>9160596.8825464807</v>
      </c>
      <c r="F39" s="137">
        <v>10063504</v>
      </c>
      <c r="G39" s="139">
        <f>IF(ISBLANK(F39),"-",$D$48/$F$45*F39)</f>
        <v>9112735.8208657876</v>
      </c>
      <c r="I39" s="315">
        <f>ABS((F43/D43*D42)-F42)/D42</f>
        <v>1.1077475752273081E-3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9431945</v>
      </c>
      <c r="E40" s="138">
        <f>IF(ISBLANK(D40),"-",$D$48/$D$45*D40)</f>
        <v>9132702.8581498601</v>
      </c>
      <c r="F40" s="137">
        <v>10117560</v>
      </c>
      <c r="G40" s="139">
        <f>IF(ISBLANK(F40),"-",$D$48/$F$45*F40)</f>
        <v>9161684.7801480349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9446222</v>
      </c>
      <c r="E42" s="148">
        <f>AVERAGE(E38:E41)</f>
        <v>9146526.8996074609</v>
      </c>
      <c r="F42" s="147">
        <f>AVERAGE(F38:F41)</f>
        <v>10111284.666666666</v>
      </c>
      <c r="G42" s="149">
        <f>AVERAGE(G38:G41)</f>
        <v>9156002.3205539864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10.39</v>
      </c>
      <c r="E43" s="140"/>
      <c r="F43" s="152">
        <v>11.11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10.39</v>
      </c>
      <c r="E44" s="155"/>
      <c r="F44" s="154">
        <f>F43*$B$34</f>
        <v>11.11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10.327660000000002</v>
      </c>
      <c r="E45" s="158"/>
      <c r="F45" s="157">
        <f>F44*$B$30/100</f>
        <v>11.043340000000001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0.10327660000000001</v>
      </c>
      <c r="E46" s="160"/>
      <c r="F46" s="161">
        <f>F45/$B$45</f>
        <v>0.1104334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9151264.6100807246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3.0285584437659231E-3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100 mg ritonavir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Ritonavir 100 mg</v>
      </c>
      <c r="H56" s="179"/>
    </row>
    <row r="57" spans="1:12" ht="18.75" x14ac:dyDescent="0.3">
      <c r="A57" s="176" t="s">
        <v>88</v>
      </c>
      <c r="B57" s="247">
        <f>Uniformity!C46</f>
        <v>796.4794999999998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20" t="s">
        <v>94</v>
      </c>
      <c r="D60" s="323">
        <v>3985.77</v>
      </c>
      <c r="E60" s="182">
        <v>1</v>
      </c>
      <c r="F60" s="183">
        <v>8931037</v>
      </c>
      <c r="G60" s="248">
        <f>IF(ISBLANK(F60),"-",(F60/$D$50*$D$47*$B$68)*($B$57/$D$60))</f>
        <v>97.510896210513678</v>
      </c>
      <c r="H60" s="266">
        <f t="shared" ref="H60:H71" si="0">IF(ISBLANK(F60),"-",(G60/$B$56)*100)</f>
        <v>97.510896210513678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21"/>
      <c r="D61" s="324"/>
      <c r="E61" s="184">
        <v>2</v>
      </c>
      <c r="F61" s="137">
        <v>8972284</v>
      </c>
      <c r="G61" s="249">
        <f>IF(ISBLANK(F61),"-",(F61/$D$50*$D$47*$B$68)*($B$57/$D$60))</f>
        <v>97.961239427767751</v>
      </c>
      <c r="H61" s="267">
        <f t="shared" si="0"/>
        <v>97.961239427767751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9003738</v>
      </c>
      <c r="G62" s="249">
        <f>IF(ISBLANK(F62),"-",(F62/$D$50*$D$47*$B$68)*($B$57/$D$60))</f>
        <v>98.304660659748478</v>
      </c>
      <c r="H62" s="267">
        <f t="shared" si="0"/>
        <v>98.304660659748478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3973.81</v>
      </c>
      <c r="E64" s="182">
        <v>1</v>
      </c>
      <c r="F64" s="183">
        <v>9196735</v>
      </c>
      <c r="G64" s="248">
        <f>IF(ISBLANK(F64),"-",(F64/$D$50*$D$47*$B$68)*($B$57/$D$64))</f>
        <v>100.71405167023681</v>
      </c>
      <c r="H64" s="266">
        <f t="shared" si="0"/>
        <v>100.71405167023681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9189252</v>
      </c>
      <c r="G65" s="249">
        <f>IF(ISBLANK(F65),"-",(F65/$D$50*$D$47*$B$68)*($B$57/$D$64))</f>
        <v>100.63210484360232</v>
      </c>
      <c r="H65" s="267">
        <f t="shared" si="0"/>
        <v>100.63210484360232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9203428</v>
      </c>
      <c r="G66" s="249">
        <f>IF(ISBLANK(F66),"-",(F66/$D$50*$D$47*$B$68)*($B$57/$D$64))</f>
        <v>100.78734715475701</v>
      </c>
      <c r="H66" s="267">
        <f t="shared" si="0"/>
        <v>100.78734715475701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</v>
      </c>
      <c r="C68" s="320" t="s">
        <v>104</v>
      </c>
      <c r="D68" s="323">
        <v>3985.13</v>
      </c>
      <c r="E68" s="182">
        <v>1</v>
      </c>
      <c r="F68" s="183">
        <v>9101765</v>
      </c>
      <c r="G68" s="248">
        <f>IF(ISBLANK(F68),"-",(F68/$D$50*$D$47*$B$68)*($B$57/$D$68))</f>
        <v>99.390898897504812</v>
      </c>
      <c r="H68" s="267">
        <f t="shared" si="0"/>
        <v>99.390898897504812</v>
      </c>
    </row>
    <row r="69" spans="1:8" ht="27" customHeight="1" x14ac:dyDescent="0.4">
      <c r="A69" s="172" t="s">
        <v>105</v>
      </c>
      <c r="B69" s="189">
        <f>(D47*B68)/B56*B57</f>
        <v>3982.3974999999991</v>
      </c>
      <c r="C69" s="321"/>
      <c r="D69" s="324"/>
      <c r="E69" s="184">
        <v>2</v>
      </c>
      <c r="F69" s="137">
        <v>9064871</v>
      </c>
      <c r="G69" s="249">
        <f>IF(ISBLANK(F69),"-",(F69/$D$50*$D$47*$B$68)*($B$57/$D$68))</f>
        <v>98.98801793717189</v>
      </c>
      <c r="H69" s="267">
        <f t="shared" si="0"/>
        <v>98.98801793717189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9140141</v>
      </c>
      <c r="G70" s="249">
        <f>IF(ISBLANK(F70),"-",(F70/$D$50*$D$47*$B$68)*($B$57/$D$68))</f>
        <v>99.809963236794019</v>
      </c>
      <c r="H70" s="267">
        <f t="shared" si="0"/>
        <v>99.809963236794019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99.344353337566318</v>
      </c>
      <c r="H72" s="269">
        <f>AVERAGE(H60:H71)</f>
        <v>99.344353337566318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1.2490597073229019E-2</v>
      </c>
      <c r="H73" s="253">
        <f>STDEV(H60:H71)/H72</f>
        <v>1.2490597073229019E-2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RITONAVIR</v>
      </c>
      <c r="D76" s="328"/>
      <c r="E76" s="198" t="s">
        <v>108</v>
      </c>
      <c r="F76" s="198"/>
      <c r="G76" s="285">
        <f>H72</f>
        <v>99.344353337566318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RITONAVIR</v>
      </c>
      <c r="C79" s="314"/>
    </row>
    <row r="80" spans="1:8" ht="26.25" customHeight="1" x14ac:dyDescent="0.4">
      <c r="A80" s="109" t="s">
        <v>48</v>
      </c>
      <c r="B80" s="314" t="s">
        <v>132</v>
      </c>
      <c r="C80" s="314"/>
    </row>
    <row r="81" spans="1:12" ht="27" customHeight="1" x14ac:dyDescent="0.4">
      <c r="A81" s="109" t="s">
        <v>6</v>
      </c>
      <c r="B81" s="201">
        <v>99.4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</v>
      </c>
      <c r="C91" s="206">
        <v>1</v>
      </c>
      <c r="D91" s="132">
        <v>13916010</v>
      </c>
      <c r="E91" s="133">
        <f>IF(ISBLANK(D91),"-",$D$101/$D$98*D91)</f>
        <v>13375379.822644666</v>
      </c>
      <c r="F91" s="132">
        <v>12966139</v>
      </c>
      <c r="G91" s="134">
        <f>IF(ISBLANK(F91),"-",$D$101/$F$98*F91)</f>
        <v>13725174.066283217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13908486</v>
      </c>
      <c r="E92" s="138">
        <f>IF(ISBLANK(D92),"-",$D$101/$D$98*D92)</f>
        <v>13368148.126362069</v>
      </c>
      <c r="F92" s="137">
        <v>12921943</v>
      </c>
      <c r="G92" s="139">
        <f>IF(ISBLANK(F92),"-",$D$101/$F$98*F92)</f>
        <v>13678390.84168309</v>
      </c>
      <c r="I92" s="315">
        <f>ABS((F96/D96*D95)-F95)/D95</f>
        <v>2.255724955082973E-2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13872752</v>
      </c>
      <c r="E93" s="138">
        <f>IF(ISBLANK(D93),"-",$D$101/$D$98*D93)</f>
        <v>13333802.374772182</v>
      </c>
      <c r="F93" s="137">
        <v>12913451</v>
      </c>
      <c r="G93" s="139">
        <f>IF(ISBLANK(F93),"-",$D$101/$F$98*F93)</f>
        <v>13669401.721778477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13899082.666666666</v>
      </c>
      <c r="E95" s="148">
        <f>AVERAGE(E91:E94)</f>
        <v>13359110.107926307</v>
      </c>
      <c r="F95" s="211">
        <f>AVERAGE(F91:F94)</f>
        <v>12933844.333333334</v>
      </c>
      <c r="G95" s="212">
        <f>AVERAGE(G91:G94)</f>
        <v>13690988.876581594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11.63</v>
      </c>
      <c r="E96" s="140"/>
      <c r="F96" s="152">
        <v>10.56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11.63</v>
      </c>
      <c r="E97" s="155"/>
      <c r="F97" s="154">
        <f>F96*$B$87</f>
        <v>10.56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11.560220000000001</v>
      </c>
      <c r="E98" s="158"/>
      <c r="F98" s="157">
        <f>F97*$B$83/100</f>
        <v>10.496640000000003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0.11560220000000002</v>
      </c>
      <c r="E99" s="158"/>
      <c r="F99" s="161">
        <f>F98/$B$98</f>
        <v>0.10496640000000003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0.1111111111111111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11.111111111111111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13525049.492253952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1.3552672550500128E-2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12958927</v>
      </c>
      <c r="E108" s="250">
        <f t="shared" ref="E108:E113" si="1">IF(ISBLANK(D108),"-",D108/$D$103*$D$100*$B$116)</f>
        <v>95.814266760515878</v>
      </c>
      <c r="F108" s="277">
        <f t="shared" ref="F108:F113" si="2">IF(ISBLANK(D108), "-", (E108/$B$56)*100)</f>
        <v>95.814266760515878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12885874</v>
      </c>
      <c r="E109" s="251">
        <f t="shared" si="1"/>
        <v>95.274135650150328</v>
      </c>
      <c r="F109" s="278">
        <f t="shared" si="2"/>
        <v>95.274135650150328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12878190</v>
      </c>
      <c r="E110" s="251">
        <f t="shared" si="1"/>
        <v>95.217322549359835</v>
      </c>
      <c r="F110" s="278">
        <f t="shared" si="2"/>
        <v>95.217322549359835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12876793</v>
      </c>
      <c r="E111" s="251">
        <f t="shared" si="1"/>
        <v>95.206993566824124</v>
      </c>
      <c r="F111" s="278">
        <f t="shared" si="2"/>
        <v>95.206993566824124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12881023</v>
      </c>
      <c r="E112" s="251">
        <f t="shared" si="1"/>
        <v>95.238268868274389</v>
      </c>
      <c r="F112" s="278">
        <f t="shared" si="2"/>
        <v>95.238268868274389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12936827</v>
      </c>
      <c r="E113" s="252">
        <f t="shared" si="1"/>
        <v>95.650866249392735</v>
      </c>
      <c r="F113" s="279">
        <f t="shared" si="2"/>
        <v>95.650866249392735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95.400308940752879</v>
      </c>
      <c r="F115" s="281">
        <f>AVERAGE(F108:F113)</f>
        <v>95.400308940752879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2.7620866518696893E-3</v>
      </c>
      <c r="F116" s="235">
        <f>STDEV(F108:F113)/F115</f>
        <v>2.7620866518696893E-3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95.206993566824124</v>
      </c>
      <c r="F119" s="282">
        <f>MIN(F108:F113)</f>
        <v>95.206993566824124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95.814266760515878</v>
      </c>
      <c r="F120" s="283">
        <f>MAX(F108:F113)</f>
        <v>95.814266760515878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RITONAVIR</v>
      </c>
      <c r="D124" s="328"/>
      <c r="E124" s="198" t="s">
        <v>127</v>
      </c>
      <c r="F124" s="198"/>
      <c r="G124" s="284">
        <f>F115</f>
        <v>95.400308940752879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95.206993566824124</v>
      </c>
      <c r="E125" s="209" t="s">
        <v>130</v>
      </c>
      <c r="F125" s="284">
        <f>MAX(F108:F113)</f>
        <v>95.814266760515878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Ritonavir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2017-12-19T12:22:21Z</cp:lastPrinted>
  <dcterms:created xsi:type="dcterms:W3CDTF">2005-07-05T10:19:27Z</dcterms:created>
  <dcterms:modified xsi:type="dcterms:W3CDTF">2017-12-19T13:30:34Z</dcterms:modified>
</cp:coreProperties>
</file>