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Sulfamethoxazole - Trimethoprim\"/>
    </mc:Choice>
  </mc:AlternateContent>
  <bookViews>
    <workbookView xWindow="0" yWindow="0" windowWidth="20460" windowHeight="7575" activeTab="3"/>
  </bookViews>
  <sheets>
    <sheet name="sulfamethoxazole sst" sheetId="1" r:id="rId1"/>
    <sheet name="Uniformity" sheetId="2" r:id="rId2"/>
    <sheet name="Sulfamethoxazole" sheetId="3" r:id="rId3"/>
    <sheet name="Trimethoprim" sheetId="4" r:id="rId4"/>
    <sheet name="Trimethoprim sst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F51" i="1" l="1"/>
  <c r="F30" i="1"/>
  <c r="D68" i="4" l="1"/>
  <c r="D64" i="4"/>
  <c r="D60" i="4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C124" i="4" l="1"/>
  <c r="B116" i="4"/>
  <c r="D100" i="4" s="1"/>
  <c r="B98" i="4"/>
  <c r="F95" i="4"/>
  <c r="I92" i="4" s="1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C45" i="2"/>
  <c r="D40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2" i="2" l="1"/>
  <c r="D36" i="2"/>
  <c r="D101" i="4"/>
  <c r="B69" i="4"/>
  <c r="I39" i="4"/>
  <c r="D101" i="3"/>
  <c r="D97" i="3"/>
  <c r="D98" i="3" s="1"/>
  <c r="E92" i="3" s="1"/>
  <c r="F98" i="3"/>
  <c r="G91" i="3" s="1"/>
  <c r="I39" i="3"/>
  <c r="F45" i="4"/>
  <c r="F46" i="4" s="1"/>
  <c r="F98" i="4"/>
  <c r="F99" i="4" s="1"/>
  <c r="F45" i="3"/>
  <c r="G41" i="3" s="1"/>
  <c r="G39" i="4"/>
  <c r="D49" i="4"/>
  <c r="G41" i="4"/>
  <c r="B69" i="3"/>
  <c r="C50" i="2"/>
  <c r="D30" i="2"/>
  <c r="D34" i="2"/>
  <c r="D42" i="2"/>
  <c r="B49" i="2"/>
  <c r="D50" i="2"/>
  <c r="D44" i="3"/>
  <c r="D45" i="3" s="1"/>
  <c r="D49" i="3"/>
  <c r="D102" i="3"/>
  <c r="D27" i="2"/>
  <c r="D31" i="2"/>
  <c r="D35" i="2"/>
  <c r="D39" i="2"/>
  <c r="D43" i="2"/>
  <c r="C49" i="2"/>
  <c r="D97" i="4"/>
  <c r="D98" i="4" s="1"/>
  <c r="D99" i="4" s="1"/>
  <c r="D49" i="2"/>
  <c r="B57" i="3"/>
  <c r="D44" i="4"/>
  <c r="D45" i="4" s="1"/>
  <c r="D46" i="4" s="1"/>
  <c r="D25" i="2"/>
  <c r="D37" i="2"/>
  <c r="D29" i="2"/>
  <c r="D33" i="2"/>
  <c r="D41" i="2"/>
  <c r="D26" i="2"/>
  <c r="D38" i="2"/>
  <c r="G92" i="4" l="1"/>
  <c r="D102" i="4"/>
  <c r="F99" i="3"/>
  <c r="G94" i="3"/>
  <c r="G93" i="3"/>
  <c r="G92" i="3"/>
  <c r="G38" i="4"/>
  <c r="E41" i="4"/>
  <c r="G91" i="4"/>
  <c r="E91" i="4"/>
  <c r="E38" i="4"/>
  <c r="G40" i="4"/>
  <c r="G93" i="4"/>
  <c r="G94" i="4"/>
  <c r="G40" i="3"/>
  <c r="G39" i="3"/>
  <c r="F46" i="3"/>
  <c r="G38" i="3"/>
  <c r="E38" i="3"/>
  <c r="D46" i="3"/>
  <c r="E40" i="3"/>
  <c r="E39" i="4"/>
  <c r="E39" i="3"/>
  <c r="D99" i="3"/>
  <c r="E93" i="3"/>
  <c r="E91" i="3"/>
  <c r="E93" i="4"/>
  <c r="E41" i="3"/>
  <c r="E94" i="3"/>
  <c r="E40" i="4"/>
  <c r="E92" i="4"/>
  <c r="E94" i="4"/>
  <c r="E95" i="4" l="1"/>
  <c r="G42" i="4"/>
  <c r="G95" i="3"/>
  <c r="D50" i="4"/>
  <c r="G65" i="4" s="1"/>
  <c r="H65" i="4" s="1"/>
  <c r="D52" i="4"/>
  <c r="D105" i="4"/>
  <c r="D103" i="4"/>
  <c r="E113" i="4" s="1"/>
  <c r="F113" i="4" s="1"/>
  <c r="E42" i="4"/>
  <c r="G95" i="4"/>
  <c r="G42" i="3"/>
  <c r="D104" i="4"/>
  <c r="D105" i="3"/>
  <c r="D103" i="3"/>
  <c r="E95" i="3"/>
  <c r="D52" i="3"/>
  <c r="D50" i="3"/>
  <c r="E42" i="3"/>
  <c r="G64" i="4" l="1"/>
  <c r="H64" i="4" s="1"/>
  <c r="G61" i="4"/>
  <c r="H61" i="4" s="1"/>
  <c r="G67" i="4"/>
  <c r="H67" i="4" s="1"/>
  <c r="G70" i="4"/>
  <c r="H70" i="4" s="1"/>
  <c r="G66" i="4"/>
  <c r="H66" i="4" s="1"/>
  <c r="G68" i="4"/>
  <c r="H68" i="4" s="1"/>
  <c r="G60" i="4"/>
  <c r="H60" i="4" s="1"/>
  <c r="G69" i="4"/>
  <c r="H69" i="4" s="1"/>
  <c r="G63" i="4"/>
  <c r="H63" i="4" s="1"/>
  <c r="D51" i="4"/>
  <c r="G62" i="4"/>
  <c r="H62" i="4" s="1"/>
  <c r="G71" i="4"/>
  <c r="H71" i="4" s="1"/>
  <c r="E108" i="4"/>
  <c r="F108" i="4" s="1"/>
  <c r="E109" i="4"/>
  <c r="F109" i="4" s="1"/>
  <c r="E110" i="4"/>
  <c r="F110" i="4" s="1"/>
  <c r="E111" i="4"/>
  <c r="F111" i="4" s="1"/>
  <c r="E112" i="4"/>
  <c r="F112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E115" i="4" l="1"/>
  <c r="E116" i="4" s="1"/>
  <c r="G72" i="4"/>
  <c r="G73" i="4" s="1"/>
  <c r="G74" i="4"/>
  <c r="E117" i="4"/>
  <c r="E119" i="4"/>
  <c r="E120" i="4"/>
  <c r="H74" i="4"/>
  <c r="H72" i="4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G74" i="3"/>
  <c r="G72" i="3"/>
  <c r="G73" i="3" s="1"/>
  <c r="H60" i="3"/>
  <c r="F119" i="3" l="1"/>
  <c r="F125" i="3"/>
  <c r="F120" i="3"/>
  <c r="F117" i="3"/>
  <c r="D125" i="3"/>
  <c r="F115" i="3"/>
  <c r="G76" i="4"/>
  <c r="H73" i="4"/>
  <c r="H74" i="3"/>
  <c r="H72" i="3"/>
  <c r="G124" i="4"/>
  <c r="F116" i="4"/>
  <c r="H73" i="3" l="1"/>
  <c r="G76" i="3"/>
  <c r="G124" i="3"/>
  <c r="F116" i="3"/>
</calcChain>
</file>

<file path=xl/sharedStrings.xml><?xml version="1.0" encoding="utf-8"?>
<sst xmlns="http://schemas.openxmlformats.org/spreadsheetml/2006/main" count="459" uniqueCount="137">
  <si>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</si>
  <si>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</si>
  <si>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</si>
  <si>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</si>
  <si>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</si>
  <si>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</si>
  <si>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</si>
  <si>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NDQB201708101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</si>
  <si>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</si>
  <si>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</si>
  <si>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</si>
  <si>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</si>
  <si>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2017-08-04 09:30:32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</si>
  <si>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</si>
  <si>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</si>
  <si>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</si>
  <si>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</si>
  <si>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</si>
  <si>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</si>
  <si>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</si>
  <si>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</si>
  <si>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</si>
  <si>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</si>
  <si>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</si>
  <si>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</si>
  <si>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</si>
  <si>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</si>
  <si>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</si>
  <si>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</si>
  <si>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</si>
  <si>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</si>
  <si>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</si>
  <si>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</si>
  <si>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</si>
  <si>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</si>
  <si>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</si>
  <si>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</si>
  <si>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</si>
  <si>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</si>
  <si>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</si>
  <si>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</si>
  <si>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</si>
  <si>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</si>
  <si>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</si>
  <si>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</si>
  <si>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</si>
  <si>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</si>
  <si>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</si>
  <si>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</si>
  <si>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</si>
  <si>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</si>
  <si>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</si>
  <si>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</si>
  <si>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</si>
  <si>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</si>
  <si>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</si>
  <si>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</si>
  <si>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</si>
  <si>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</si>
  <si>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</si>
  <si>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</si>
  <si>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</si>
  <si>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</si>
  <si>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</si>
  <si>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</si>
  <si>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</si>
  <si>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</si>
  <si>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</si>
  <si>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</si>
  <si>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</si>
  <si>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</si>
  <si>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</si>
  <si>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</si>
  <si>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</si>
  <si>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</si>
  <si>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</si>
  <si>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</si>
  <si>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</si>
  <si>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</si>
  <si>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</si>
  <si>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</si>
  <si>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</si>
  <si>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</si>
  <si>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</si>
  <si>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</si>
  <si>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</si>
  <si>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</si>
  <si>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</si>
  <si>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</si>
  <si>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</si>
  <si>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</si>
  <si>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</si>
  <si>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</si>
  <si>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</si>
  <si>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</si>
  <si>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</si>
  <si>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</si>
  <si>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</si>
  <si>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</si>
  <si>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</si>
  <si>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</si>
  <si>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</si>
  <si>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</si>
  <si>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</si>
  <si>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</si>
  <si>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</si>
  <si>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</si>
  <si>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</si>
  <si>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</si>
  <si>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</si>
  <si>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</si>
  <si>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</si>
  <si>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</si>
  <si>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</si>
  <si>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</si>
  <si>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</si>
  <si>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</si>
  <si>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</si>
  <si>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</si>
  <si>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</si>
  <si>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</si>
  <si>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</si>
  <si>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</si>
  <si>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</si>
  <si>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</si>
  <si>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</si>
  <si>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</si>
  <si>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</si>
  <si>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</si>
  <si>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</si>
  <si>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</si>
  <si>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</si>
  <si>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Trimethoprim</t>
  </si>
  <si>
    <t>Resolution</t>
  </si>
  <si>
    <r>
      <t xml:space="preserve">The Resolution should not be less than </t>
    </r>
    <r>
      <rPr>
        <b/>
        <sz val="12"/>
        <color rgb="FF000000"/>
        <rFont val="Book Antiqua"/>
        <family val="1"/>
      </rPr>
      <t>5.0</t>
    </r>
  </si>
  <si>
    <t>S12-6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</si>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</sst>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8" xfId="0" applyFont="1" applyFill="1" applyBorder="1"/>
    <xf numFmtId="0" fontId="2" fillId="2" borderId="59" xfId="0" applyFont="1" applyFill="1" applyBorder="1"/>
    <xf numFmtId="0" fontId="27" fillId="2" borderId="57" xfId="0" applyFont="1" applyFill="1" applyBorder="1"/>
    <xf numFmtId="176" fontId="28" fillId="8" borderId="58" xfId="0" applyNumberFormat="1" applyFont="1" applyFill="1" applyBorder="1" applyAlignment="1">
      <alignment horizontal="center"/>
    </xf>
    <xf numFmtId="176" fontId="2" fillId="9" borderId="5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9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6" fontId="28" fillId="9" borderId="57" xfId="0" applyNumberFormat="1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F51" sqref="F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5" t="s">
        <v>0</v>
      </c>
      <c r="B15" s="485"/>
      <c r="C15" s="485"/>
      <c r="D15" s="485"/>
      <c r="E15" s="4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18.91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0.18909999999999999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5" t="s">
        <v>17</v>
      </c>
      <c r="F23" s="482" t="s">
        <v>133</v>
      </c>
    </row>
    <row r="24" spans="1:6" ht="16.5" customHeight="1" x14ac:dyDescent="0.3">
      <c r="A24" s="17">
        <v>1</v>
      </c>
      <c r="B24" s="18">
        <v>45357508</v>
      </c>
      <c r="C24" s="18">
        <v>9597.1</v>
      </c>
      <c r="D24" s="19">
        <v>1.1000000000000001</v>
      </c>
      <c r="E24" s="475">
        <v>10.8</v>
      </c>
      <c r="F24" s="483">
        <v>14</v>
      </c>
    </row>
    <row r="25" spans="1:6" ht="16.5" customHeight="1" x14ac:dyDescent="0.3">
      <c r="A25" s="17">
        <v>2</v>
      </c>
      <c r="B25" s="18">
        <v>45512050</v>
      </c>
      <c r="C25" s="18">
        <v>9680.9</v>
      </c>
      <c r="D25" s="19">
        <v>1</v>
      </c>
      <c r="E25" s="476">
        <v>10.8</v>
      </c>
      <c r="F25" s="483">
        <v>14.1</v>
      </c>
    </row>
    <row r="26" spans="1:6" ht="16.5" customHeight="1" x14ac:dyDescent="0.3">
      <c r="A26" s="17">
        <v>3</v>
      </c>
      <c r="B26" s="18">
        <v>45526906</v>
      </c>
      <c r="C26" s="18">
        <v>9756.7000000000007</v>
      </c>
      <c r="D26" s="19">
        <v>1</v>
      </c>
      <c r="E26" s="476">
        <v>10.8</v>
      </c>
      <c r="F26" s="483">
        <v>14.2</v>
      </c>
    </row>
    <row r="27" spans="1:6" ht="16.5" customHeight="1" x14ac:dyDescent="0.3">
      <c r="A27" s="17">
        <v>4</v>
      </c>
      <c r="B27" s="18">
        <v>45578353</v>
      </c>
      <c r="C27" s="18">
        <v>9793.2000000000007</v>
      </c>
      <c r="D27" s="19">
        <v>1.1000000000000001</v>
      </c>
      <c r="E27" s="476">
        <v>10.8</v>
      </c>
      <c r="F27" s="483">
        <v>14.2</v>
      </c>
    </row>
    <row r="28" spans="1:6" ht="16.5" customHeight="1" x14ac:dyDescent="0.3">
      <c r="A28" s="17">
        <v>5</v>
      </c>
      <c r="B28" s="18">
        <v>45538907</v>
      </c>
      <c r="C28" s="18">
        <v>9839.9</v>
      </c>
      <c r="D28" s="19">
        <v>1.1000000000000001</v>
      </c>
      <c r="E28" s="476">
        <v>10.8</v>
      </c>
      <c r="F28" s="483">
        <v>14.3</v>
      </c>
    </row>
    <row r="29" spans="1:6" ht="16.5" customHeight="1" x14ac:dyDescent="0.3">
      <c r="A29" s="17">
        <v>6</v>
      </c>
      <c r="B29" s="21">
        <v>45645405</v>
      </c>
      <c r="C29" s="21">
        <v>9874.2000000000007</v>
      </c>
      <c r="D29" s="22">
        <v>1.1000000000000001</v>
      </c>
      <c r="E29" s="477">
        <v>10.8</v>
      </c>
      <c r="F29" s="483">
        <v>14.3</v>
      </c>
    </row>
    <row r="30" spans="1:6" ht="16.5" customHeight="1" x14ac:dyDescent="0.3">
      <c r="A30" s="23" t="s">
        <v>18</v>
      </c>
      <c r="B30" s="24">
        <f>AVERAGE(B24:B29)</f>
        <v>45526521.5</v>
      </c>
      <c r="C30" s="25">
        <f>AVERAGE(C24:C29)</f>
        <v>9757</v>
      </c>
      <c r="D30" s="26">
        <f>AVERAGE(D24:D29)</f>
        <v>1.0666666666666667</v>
      </c>
      <c r="E30" s="478">
        <f>AVERAGE(E24:E29)</f>
        <v>10.799999999999999</v>
      </c>
      <c r="F30" s="542">
        <f>AVERAGE(F24:F29)</f>
        <v>14.183333333333332</v>
      </c>
    </row>
    <row r="31" spans="1:6" ht="16.5" customHeight="1" x14ac:dyDescent="0.3">
      <c r="A31" s="27" t="s">
        <v>19</v>
      </c>
      <c r="B31" s="28">
        <f>(STDEV(B24:B29)/B30)</f>
        <v>2.1010584622795244E-3</v>
      </c>
      <c r="C31" s="29"/>
      <c r="D31" s="29"/>
      <c r="E31" s="479"/>
      <c r="F31" s="48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481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487" t="s">
        <v>134</v>
      </c>
      <c r="C37" s="488"/>
      <c r="D37" s="488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18.91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0.18909999999999999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5" t="s">
        <v>17</v>
      </c>
      <c r="F44" s="482" t="s">
        <v>133</v>
      </c>
    </row>
    <row r="45" spans="1:6" ht="16.5" customHeight="1" x14ac:dyDescent="0.3">
      <c r="A45" s="17">
        <v>1</v>
      </c>
      <c r="B45" s="18">
        <v>45357508</v>
      </c>
      <c r="C45" s="18">
        <v>9597.1</v>
      </c>
      <c r="D45" s="19">
        <v>1.1000000000000001</v>
      </c>
      <c r="E45" s="475">
        <v>10.8</v>
      </c>
      <c r="F45" s="483">
        <v>14</v>
      </c>
    </row>
    <row r="46" spans="1:6" ht="16.5" customHeight="1" x14ac:dyDescent="0.3">
      <c r="A46" s="17">
        <v>2</v>
      </c>
      <c r="B46" s="18">
        <v>45512050</v>
      </c>
      <c r="C46" s="18">
        <v>9680.9</v>
      </c>
      <c r="D46" s="19">
        <v>1</v>
      </c>
      <c r="E46" s="476">
        <v>10.8</v>
      </c>
      <c r="F46" s="483">
        <v>14.1</v>
      </c>
    </row>
    <row r="47" spans="1:6" ht="16.5" customHeight="1" x14ac:dyDescent="0.3">
      <c r="A47" s="17">
        <v>3</v>
      </c>
      <c r="B47" s="18">
        <v>45526906</v>
      </c>
      <c r="C47" s="18">
        <v>9756.7000000000007</v>
      </c>
      <c r="D47" s="19">
        <v>1</v>
      </c>
      <c r="E47" s="476">
        <v>10.8</v>
      </c>
      <c r="F47" s="483">
        <v>14.2</v>
      </c>
    </row>
    <row r="48" spans="1:6" ht="16.5" customHeight="1" x14ac:dyDescent="0.3">
      <c r="A48" s="17">
        <v>4</v>
      </c>
      <c r="B48" s="18">
        <v>45578353</v>
      </c>
      <c r="C48" s="18">
        <v>9793.2000000000007</v>
      </c>
      <c r="D48" s="19">
        <v>1.1000000000000001</v>
      </c>
      <c r="E48" s="476">
        <v>10.8</v>
      </c>
      <c r="F48" s="483">
        <v>14.2</v>
      </c>
    </row>
    <row r="49" spans="1:7" ht="16.5" customHeight="1" x14ac:dyDescent="0.3">
      <c r="A49" s="17">
        <v>5</v>
      </c>
      <c r="B49" s="18">
        <v>45538907</v>
      </c>
      <c r="C49" s="18">
        <v>9839.9</v>
      </c>
      <c r="D49" s="19">
        <v>1.1000000000000001</v>
      </c>
      <c r="E49" s="476">
        <v>10.8</v>
      </c>
      <c r="F49" s="483">
        <v>14.3</v>
      </c>
    </row>
    <row r="50" spans="1:7" ht="16.5" customHeight="1" x14ac:dyDescent="0.3">
      <c r="A50" s="17">
        <v>6</v>
      </c>
      <c r="B50" s="21">
        <v>45645405</v>
      </c>
      <c r="C50" s="21">
        <v>9874.2000000000007</v>
      </c>
      <c r="D50" s="22">
        <v>1.1000000000000001</v>
      </c>
      <c r="E50" s="477">
        <v>10.8</v>
      </c>
      <c r="F50" s="483">
        <v>14.3</v>
      </c>
    </row>
    <row r="51" spans="1:7" ht="16.5" customHeight="1" x14ac:dyDescent="0.3">
      <c r="A51" s="23" t="s">
        <v>18</v>
      </c>
      <c r="B51" s="24">
        <f>AVERAGE(B45:B50)</f>
        <v>45526521.5</v>
      </c>
      <c r="C51" s="25">
        <f>AVERAGE(C45:C50)</f>
        <v>9757</v>
      </c>
      <c r="D51" s="26">
        <f>AVERAGE(D45:D50)</f>
        <v>1.0666666666666667</v>
      </c>
      <c r="E51" s="478">
        <f>AVERAGE(E45:E50)</f>
        <v>10.799999999999999</v>
      </c>
      <c r="F51" s="484">
        <f>AVERAGE(F45:F50)</f>
        <v>14.183333333333332</v>
      </c>
    </row>
    <row r="52" spans="1:7" ht="16.5" customHeight="1" x14ac:dyDescent="0.3">
      <c r="A52" s="27" t="s">
        <v>19</v>
      </c>
      <c r="B52" s="28">
        <f>(STDEV(B45:B50)/B51)</f>
        <v>2.1010584622795244E-3</v>
      </c>
      <c r="C52" s="29"/>
      <c r="D52" s="29"/>
      <c r="E52" s="479"/>
      <c r="F52" s="480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481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thickBot="1" x14ac:dyDescent="0.35">
      <c r="A58" s="41"/>
      <c r="B58" s="489" t="s">
        <v>134</v>
      </c>
      <c r="C58" s="490"/>
      <c r="D58" s="490"/>
      <c r="F58" s="43"/>
      <c r="G58" s="43"/>
    </row>
    <row r="59" spans="1:7" ht="15" customHeight="1" x14ac:dyDescent="0.3">
      <c r="B59" s="486" t="s">
        <v>26</v>
      </c>
      <c r="C59" s="486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37:D37"/>
    <mergeCell ref="B58:D58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4" t="s">
        <v>31</v>
      </c>
      <c r="B11" s="495"/>
      <c r="C11" s="495"/>
      <c r="D11" s="495"/>
      <c r="E11" s="495"/>
      <c r="F11" s="496"/>
      <c r="G11" s="90"/>
    </row>
    <row r="12" spans="1:7" ht="16.5" customHeight="1" x14ac:dyDescent="0.3">
      <c r="A12" s="493" t="s">
        <v>32</v>
      </c>
      <c r="B12" s="493"/>
      <c r="C12" s="493"/>
      <c r="D12" s="493"/>
      <c r="E12" s="493"/>
      <c r="F12" s="493"/>
      <c r="G12" s="89"/>
    </row>
    <row r="14" spans="1:7" ht="16.5" customHeight="1" x14ac:dyDescent="0.3">
      <c r="A14" s="498" t="s">
        <v>33</v>
      </c>
      <c r="B14" s="498"/>
      <c r="C14" s="59" t="s">
        <v>5</v>
      </c>
    </row>
    <row r="15" spans="1:7" ht="16.5" customHeight="1" x14ac:dyDescent="0.3">
      <c r="A15" s="498" t="s">
        <v>34</v>
      </c>
      <c r="B15" s="498"/>
      <c r="C15" s="59" t="s">
        <v>7</v>
      </c>
    </row>
    <row r="16" spans="1:7" ht="16.5" customHeight="1" x14ac:dyDescent="0.3">
      <c r="A16" s="498" t="s">
        <v>35</v>
      </c>
      <c r="B16" s="498"/>
      <c r="C16" s="59" t="s">
        <v>9</v>
      </c>
    </row>
    <row r="17" spans="1:5" ht="16.5" customHeight="1" x14ac:dyDescent="0.3">
      <c r="A17" s="498" t="s">
        <v>36</v>
      </c>
      <c r="B17" s="498"/>
      <c r="C17" s="59" t="s">
        <v>11</v>
      </c>
    </row>
    <row r="18" spans="1:5" ht="16.5" customHeight="1" x14ac:dyDescent="0.3">
      <c r="A18" s="498" t="s">
        <v>37</v>
      </c>
      <c r="B18" s="498"/>
      <c r="C18" s="96" t="s">
        <v>12</v>
      </c>
    </row>
    <row r="19" spans="1:5" ht="16.5" customHeight="1" x14ac:dyDescent="0.3">
      <c r="A19" s="498" t="s">
        <v>38</v>
      </c>
      <c r="B19" s="498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93" t="s">
        <v>1</v>
      </c>
      <c r="B21" s="493"/>
      <c r="C21" s="58" t="s">
        <v>39</v>
      </c>
      <c r="D21" s="65"/>
    </row>
    <row r="22" spans="1:5" ht="15.75" customHeight="1" x14ac:dyDescent="0.3">
      <c r="A22" s="497"/>
      <c r="B22" s="497"/>
      <c r="C22" s="56"/>
      <c r="D22" s="497"/>
      <c r="E22" s="497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1041.27</v>
      </c>
      <c r="D24" s="86">
        <f t="shared" ref="D24:D43" si="0">(C24-$C$46)/$C$46</f>
        <v>-1.4810879595557964E-3</v>
      </c>
      <c r="E24" s="52"/>
    </row>
    <row r="25" spans="1:5" ht="15.75" customHeight="1" x14ac:dyDescent="0.3">
      <c r="C25" s="94">
        <v>1042.49</v>
      </c>
      <c r="D25" s="87">
        <f t="shared" si="0"/>
        <v>-3.111771077216235E-4</v>
      </c>
      <c r="E25" s="52"/>
    </row>
    <row r="26" spans="1:5" ht="15.75" customHeight="1" x14ac:dyDescent="0.3">
      <c r="C26" s="94">
        <v>1050.54</v>
      </c>
      <c r="D26" s="87">
        <f t="shared" si="0"/>
        <v>7.4083166277413501E-3</v>
      </c>
      <c r="E26" s="52"/>
    </row>
    <row r="27" spans="1:5" ht="15.75" customHeight="1" x14ac:dyDescent="0.3">
      <c r="C27" s="94">
        <v>1044.83</v>
      </c>
      <c r="D27" s="87">
        <f t="shared" si="0"/>
        <v>1.9327502638290385E-3</v>
      </c>
      <c r="E27" s="52"/>
    </row>
    <row r="28" spans="1:5" ht="15.75" customHeight="1" x14ac:dyDescent="0.3">
      <c r="C28" s="94">
        <v>1040.28</v>
      </c>
      <c r="D28" s="87">
        <f t="shared" si="0"/>
        <v>-2.4304418475195799E-3</v>
      </c>
      <c r="E28" s="52"/>
    </row>
    <row r="29" spans="1:5" ht="15.75" customHeight="1" x14ac:dyDescent="0.3">
      <c r="C29" s="94">
        <v>1052.47</v>
      </c>
      <c r="D29" s="87">
        <f t="shared" si="0"/>
        <v>9.2590772376101842E-3</v>
      </c>
      <c r="E29" s="52"/>
    </row>
    <row r="30" spans="1:5" ht="15.75" customHeight="1" x14ac:dyDescent="0.3">
      <c r="C30" s="94">
        <v>1040.8800000000001</v>
      </c>
      <c r="D30" s="87">
        <f t="shared" si="0"/>
        <v>-1.855075854814131E-3</v>
      </c>
      <c r="E30" s="52"/>
    </row>
    <row r="31" spans="1:5" ht="15.75" customHeight="1" x14ac:dyDescent="0.3">
      <c r="C31" s="94">
        <v>1031.71</v>
      </c>
      <c r="D31" s="87">
        <f t="shared" si="0"/>
        <v>-1.0648586109993812E-2</v>
      </c>
      <c r="E31" s="52"/>
    </row>
    <row r="32" spans="1:5" ht="15.75" customHeight="1" x14ac:dyDescent="0.3">
      <c r="C32" s="94">
        <v>1044.22</v>
      </c>
      <c r="D32" s="87">
        <f t="shared" si="0"/>
        <v>1.3477948379120609E-3</v>
      </c>
      <c r="E32" s="52"/>
    </row>
    <row r="33" spans="1:7" ht="15.75" customHeight="1" x14ac:dyDescent="0.3">
      <c r="C33" s="94">
        <v>1046.94</v>
      </c>
      <c r="D33" s="87">
        <f t="shared" si="0"/>
        <v>3.956120671509529E-3</v>
      </c>
      <c r="E33" s="52"/>
    </row>
    <row r="34" spans="1:7" ht="15.75" customHeight="1" x14ac:dyDescent="0.3">
      <c r="C34" s="94">
        <v>1042.78</v>
      </c>
      <c r="D34" s="87">
        <f t="shared" si="0"/>
        <v>-3.3083544580754638E-5</v>
      </c>
      <c r="E34" s="52"/>
    </row>
    <row r="35" spans="1:7" ht="15.75" customHeight="1" x14ac:dyDescent="0.3">
      <c r="C35" s="94">
        <v>1041.93</v>
      </c>
      <c r="D35" s="87">
        <f t="shared" si="0"/>
        <v>-8.4818536757986802E-4</v>
      </c>
      <c r="E35" s="52"/>
    </row>
    <row r="36" spans="1:7" ht="15.75" customHeight="1" x14ac:dyDescent="0.3">
      <c r="C36" s="94">
        <v>1041.82</v>
      </c>
      <c r="D36" s="87">
        <f t="shared" si="0"/>
        <v>-9.5366913290929846E-4</v>
      </c>
      <c r="E36" s="52"/>
    </row>
    <row r="37" spans="1:7" ht="15.75" customHeight="1" x14ac:dyDescent="0.3">
      <c r="C37" s="94">
        <v>1045.8599999999999</v>
      </c>
      <c r="D37" s="87">
        <f t="shared" si="0"/>
        <v>2.9204618846398081E-3</v>
      </c>
      <c r="E37" s="52"/>
    </row>
    <row r="38" spans="1:7" ht="15.75" customHeight="1" x14ac:dyDescent="0.3">
      <c r="C38" s="94">
        <v>1044.6199999999999</v>
      </c>
      <c r="D38" s="87">
        <f t="shared" si="0"/>
        <v>1.7313721663821423E-3</v>
      </c>
      <c r="E38" s="52"/>
    </row>
    <row r="39" spans="1:7" ht="15.75" customHeight="1" x14ac:dyDescent="0.3">
      <c r="C39" s="94">
        <v>1042.73</v>
      </c>
      <c r="D39" s="87">
        <f t="shared" si="0"/>
        <v>-8.1030710639487538E-5</v>
      </c>
      <c r="E39" s="52"/>
    </row>
    <row r="40" spans="1:7" ht="15.75" customHeight="1" x14ac:dyDescent="0.3">
      <c r="C40" s="94">
        <v>1041.23</v>
      </c>
      <c r="D40" s="87">
        <f t="shared" si="0"/>
        <v>-1.5194456924027826E-3</v>
      </c>
      <c r="E40" s="52"/>
    </row>
    <row r="41" spans="1:7" ht="15.75" customHeight="1" x14ac:dyDescent="0.3">
      <c r="C41" s="94">
        <v>1035.81</v>
      </c>
      <c r="D41" s="87">
        <f t="shared" si="0"/>
        <v>-6.716918493174226E-3</v>
      </c>
      <c r="E41" s="52"/>
    </row>
    <row r="42" spans="1:7" ht="15.75" customHeight="1" x14ac:dyDescent="0.3">
      <c r="C42" s="94">
        <v>1040.5</v>
      </c>
      <c r="D42" s="87">
        <f t="shared" si="0"/>
        <v>-2.2194743168609372E-3</v>
      </c>
      <c r="E42" s="52"/>
    </row>
    <row r="43" spans="1:7" ht="16.5" customHeight="1" x14ac:dyDescent="0.3">
      <c r="C43" s="95">
        <v>1043.3800000000001</v>
      </c>
      <c r="D43" s="88">
        <f t="shared" si="0"/>
        <v>5.422824481246942E-4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20856.290000000005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1042.8145000000002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91">
        <f>C46</f>
        <v>1042.8145000000002</v>
      </c>
      <c r="C49" s="92">
        <f>-IF(C46&lt;=80,10%,IF(C46&lt;250,7.5%,5%))</f>
        <v>-0.05</v>
      </c>
      <c r="D49" s="80">
        <f>IF(C46&lt;=80,C46*0.9,IF(C46&lt;250,C46*0.925,C46*0.95))</f>
        <v>990.67377500000009</v>
      </c>
    </row>
    <row r="50" spans="1:6" ht="17.25" customHeight="1" x14ac:dyDescent="0.3">
      <c r="B50" s="492"/>
      <c r="C50" s="93">
        <f>IF(C46&lt;=80, 10%, IF(C46&lt;250, 7.5%, 5%))</f>
        <v>0.05</v>
      </c>
      <c r="D50" s="80">
        <f>IF(C46&lt;=80, C46*1.1, IF(C46&lt;250, C46*1.075, C46*1.05))</f>
        <v>1094.9552250000002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7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45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46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97"/>
    </row>
    <row r="16" spans="1:9" ht="19.5" customHeight="1" x14ac:dyDescent="0.3">
      <c r="A16" s="533" t="s">
        <v>31</v>
      </c>
      <c r="B16" s="534"/>
      <c r="C16" s="534"/>
      <c r="D16" s="534"/>
      <c r="E16" s="534"/>
      <c r="F16" s="534"/>
      <c r="G16" s="534"/>
      <c r="H16" s="535"/>
    </row>
    <row r="17" spans="1:14" ht="20.25" customHeight="1" x14ac:dyDescent="0.25">
      <c r="A17" s="536" t="s">
        <v>47</v>
      </c>
      <c r="B17" s="536"/>
      <c r="C17" s="536"/>
      <c r="D17" s="536"/>
      <c r="E17" s="536"/>
      <c r="F17" s="536"/>
      <c r="G17" s="536"/>
      <c r="H17" s="536"/>
    </row>
    <row r="18" spans="1:14" ht="26.25" customHeight="1" x14ac:dyDescent="0.4">
      <c r="A18" s="99" t="s">
        <v>33</v>
      </c>
      <c r="B18" s="532" t="s">
        <v>5</v>
      </c>
      <c r="C18" s="532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37" t="s">
        <v>9</v>
      </c>
      <c r="C20" s="537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37" t="s">
        <v>11</v>
      </c>
      <c r="C21" s="537"/>
      <c r="D21" s="537"/>
      <c r="E21" s="537"/>
      <c r="F21" s="537"/>
      <c r="G21" s="537"/>
      <c r="H21" s="537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/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31" t="s">
        <v>131</v>
      </c>
      <c r="C26" s="532"/>
    </row>
    <row r="27" spans="1:14" ht="26.25" customHeight="1" x14ac:dyDescent="0.4">
      <c r="A27" s="108" t="s">
        <v>48</v>
      </c>
      <c r="B27" s="538" t="s">
        <v>135</v>
      </c>
      <c r="C27" s="539"/>
    </row>
    <row r="28" spans="1:14" ht="27" customHeight="1" x14ac:dyDescent="0.4">
      <c r="A28" s="108" t="s">
        <v>6</v>
      </c>
      <c r="B28" s="109">
        <v>99.02</v>
      </c>
    </row>
    <row r="29" spans="1:14" s="14" customFormat="1" ht="27" customHeight="1" x14ac:dyDescent="0.4">
      <c r="A29" s="108" t="s">
        <v>49</v>
      </c>
      <c r="B29" s="110">
        <v>0</v>
      </c>
      <c r="C29" s="507" t="s">
        <v>50</v>
      </c>
      <c r="D29" s="508"/>
      <c r="E29" s="508"/>
      <c r="F29" s="508"/>
      <c r="G29" s="509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99.02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510" t="s">
        <v>53</v>
      </c>
      <c r="D31" s="511"/>
      <c r="E31" s="511"/>
      <c r="F31" s="511"/>
      <c r="G31" s="511"/>
      <c r="H31" s="512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510" t="s">
        <v>55</v>
      </c>
      <c r="D32" s="511"/>
      <c r="E32" s="511"/>
      <c r="F32" s="511"/>
      <c r="G32" s="511"/>
      <c r="H32" s="51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513" t="s">
        <v>59</v>
      </c>
      <c r="E36" s="540"/>
      <c r="F36" s="513" t="s">
        <v>60</v>
      </c>
      <c r="G36" s="514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45500008</v>
      </c>
      <c r="E38" s="132">
        <f>IF(ISBLANK(D38),"-",$D$48/$D$45*D38)</f>
        <v>38879171.779793106</v>
      </c>
      <c r="F38" s="131">
        <v>40051273</v>
      </c>
      <c r="G38" s="133">
        <f>IF(ISBLANK(F38),"-",$D$48/$F$45*F38)</f>
        <v>38567494.701952793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45743910</v>
      </c>
      <c r="E39" s="137">
        <f>IF(ISBLANK(D39),"-",$D$48/$D$45*D39)</f>
        <v>39087582.902609505</v>
      </c>
      <c r="F39" s="136">
        <v>40171593</v>
      </c>
      <c r="G39" s="138">
        <f>IF(ISBLANK(F39),"-",$D$48/$F$45*F39)</f>
        <v>38683357.210556179</v>
      </c>
      <c r="I39" s="515">
        <f>ABS((F43/D43*D42)-F42)/D42</f>
        <v>8.4322008806976077E-3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45804787</v>
      </c>
      <c r="E40" s="137">
        <f>IF(ISBLANK(D40),"-",$D$48/$D$45*D40)</f>
        <v>39139601.516330153</v>
      </c>
      <c r="F40" s="136">
        <v>40233213</v>
      </c>
      <c r="G40" s="138">
        <f>IF(ISBLANK(F40),"-",$D$48/$F$45*F40)</f>
        <v>38742694.376282081</v>
      </c>
      <c r="I40" s="515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45682901.666666664</v>
      </c>
      <c r="E42" s="147">
        <f>AVERAGE(E38:E41)</f>
        <v>39035452.066244252</v>
      </c>
      <c r="F42" s="146">
        <f>AVERAGE(F38:F41)</f>
        <v>40152026.333333336</v>
      </c>
      <c r="G42" s="148">
        <f>AVERAGE(G38:G41)</f>
        <v>38664515.429597013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18.91</v>
      </c>
      <c r="E43" s="139"/>
      <c r="F43" s="151">
        <v>16.78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18.91</v>
      </c>
      <c r="E44" s="154"/>
      <c r="F44" s="153">
        <f>F43*$B$34</f>
        <v>16.78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18.724682000000001</v>
      </c>
      <c r="E45" s="157"/>
      <c r="F45" s="156">
        <f>F44*$B$30/100</f>
        <v>16.615556000000002</v>
      </c>
      <c r="H45" s="149"/>
    </row>
    <row r="46" spans="1:14" ht="19.5" customHeight="1" x14ac:dyDescent="0.3">
      <c r="A46" s="501" t="s">
        <v>78</v>
      </c>
      <c r="B46" s="502"/>
      <c r="C46" s="152" t="s">
        <v>79</v>
      </c>
      <c r="D46" s="158">
        <f>D45/$B$45</f>
        <v>0.18724682000000001</v>
      </c>
      <c r="E46" s="159"/>
      <c r="F46" s="160">
        <f>F45/$B$45</f>
        <v>0.16615556000000001</v>
      </c>
      <c r="H46" s="149"/>
    </row>
    <row r="47" spans="1:14" ht="27" customHeight="1" x14ac:dyDescent="0.4">
      <c r="A47" s="503"/>
      <c r="B47" s="504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38849983.747920632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5.8725567477386489E-3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contains: Sulphamethoxazole B.P. 800 mg and Trimethoprim B.P. 160 mg.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>Sulfamethoxazole &amp; Trimethoprim</v>
      </c>
      <c r="H56" s="178"/>
    </row>
    <row r="57" spans="1:12" ht="18.75" x14ac:dyDescent="0.3">
      <c r="A57" s="175" t="s">
        <v>88</v>
      </c>
      <c r="B57" s="246">
        <f>Uniformity!C46</f>
        <v>1042.8145000000002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2</v>
      </c>
      <c r="C60" s="518" t="s">
        <v>94</v>
      </c>
      <c r="D60" s="521">
        <v>1041.5</v>
      </c>
      <c r="E60" s="181">
        <v>1</v>
      </c>
      <c r="F60" s="182">
        <v>38163350</v>
      </c>
      <c r="G60" s="247">
        <f>IF(ISBLANK(F60),"-",(F60/$D$50*$D$47*$B$68)*($B$57/$D$60))</f>
        <v>786.85266998837119</v>
      </c>
      <c r="H60" s="265">
        <f t="shared" ref="H60:H71" si="0">IF(ISBLANK(F60),"-",(G60/$B$56)*100)</f>
        <v>98.356583748546399</v>
      </c>
      <c r="L60" s="111"/>
    </row>
    <row r="61" spans="1:12" s="14" customFormat="1" ht="26.25" customHeight="1" x14ac:dyDescent="0.4">
      <c r="A61" s="123" t="s">
        <v>95</v>
      </c>
      <c r="B61" s="124">
        <v>100</v>
      </c>
      <c r="C61" s="519"/>
      <c r="D61" s="522"/>
      <c r="E61" s="183">
        <v>2</v>
      </c>
      <c r="F61" s="136">
        <v>37733707</v>
      </c>
      <c r="G61" s="248">
        <f>IF(ISBLANK(F61),"-",(F61/$D$50*$D$47*$B$68)*($B$57/$D$60))</f>
        <v>777.9942825121193</v>
      </c>
      <c r="H61" s="266">
        <f t="shared" si="0"/>
        <v>97.249285314014912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19"/>
      <c r="D62" s="522"/>
      <c r="E62" s="183">
        <v>3</v>
      </c>
      <c r="F62" s="184">
        <v>37859179</v>
      </c>
      <c r="G62" s="248">
        <f>IF(ISBLANK(F62),"-",(F62/$D$50*$D$47*$B$68)*($B$57/$D$60))</f>
        <v>780.58126657428318</v>
      </c>
      <c r="H62" s="266">
        <f t="shared" si="0"/>
        <v>97.572658321785397</v>
      </c>
      <c r="L62" s="111"/>
    </row>
    <row r="63" spans="1:12" ht="27" customHeight="1" x14ac:dyDescent="0.4">
      <c r="A63" s="123" t="s">
        <v>97</v>
      </c>
      <c r="B63" s="124">
        <v>1</v>
      </c>
      <c r="C63" s="528"/>
      <c r="D63" s="523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18" t="s">
        <v>99</v>
      </c>
      <c r="D64" s="521">
        <v>1043.1600000000001</v>
      </c>
      <c r="E64" s="181">
        <v>1</v>
      </c>
      <c r="F64" s="182">
        <v>37974269</v>
      </c>
      <c r="G64" s="247">
        <f>IF(ISBLANK(F64),"-",(F64/$D$50*$D$47*$B$68)*($B$57/$D$64))</f>
        <v>781.70826472525368</v>
      </c>
      <c r="H64" s="265">
        <f t="shared" si="0"/>
        <v>97.713533090656711</v>
      </c>
    </row>
    <row r="65" spans="1:8" ht="26.25" customHeight="1" x14ac:dyDescent="0.4">
      <c r="A65" s="123" t="s">
        <v>100</v>
      </c>
      <c r="B65" s="124">
        <v>1</v>
      </c>
      <c r="C65" s="519"/>
      <c r="D65" s="522"/>
      <c r="E65" s="183">
        <v>2</v>
      </c>
      <c r="F65" s="136">
        <v>37920473</v>
      </c>
      <c r="G65" s="248">
        <f>IF(ISBLANK(F65),"-",(F65/$D$50*$D$47*$B$68)*($B$57/$D$64))</f>
        <v>780.6008628208441</v>
      </c>
      <c r="H65" s="266">
        <f t="shared" si="0"/>
        <v>97.575107852605512</v>
      </c>
    </row>
    <row r="66" spans="1:8" ht="26.25" customHeight="1" x14ac:dyDescent="0.4">
      <c r="A66" s="123" t="s">
        <v>101</v>
      </c>
      <c r="B66" s="124">
        <v>1</v>
      </c>
      <c r="C66" s="519"/>
      <c r="D66" s="522"/>
      <c r="E66" s="183">
        <v>3</v>
      </c>
      <c r="F66" s="136">
        <v>37936221</v>
      </c>
      <c r="G66" s="248">
        <f>IF(ISBLANK(F66),"-",(F66/$D$50*$D$47*$B$68)*($B$57/$D$64))</f>
        <v>780.92503869248208</v>
      </c>
      <c r="H66" s="266">
        <f t="shared" si="0"/>
        <v>97.615629836560259</v>
      </c>
    </row>
    <row r="67" spans="1:8" ht="27" customHeight="1" x14ac:dyDescent="0.4">
      <c r="A67" s="123" t="s">
        <v>102</v>
      </c>
      <c r="B67" s="124">
        <v>1</v>
      </c>
      <c r="C67" s="528"/>
      <c r="D67" s="523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5000</v>
      </c>
      <c r="C68" s="518" t="s">
        <v>104</v>
      </c>
      <c r="D68" s="521">
        <v>1044.8900000000001</v>
      </c>
      <c r="E68" s="181">
        <v>1</v>
      </c>
      <c r="F68" s="182">
        <v>36999704</v>
      </c>
      <c r="G68" s="247">
        <f>IF(ISBLANK(F68),"-",(F68/$D$50*$D$47*$B$68)*($B$57/$D$68))</f>
        <v>760.38559992065029</v>
      </c>
      <c r="H68" s="266">
        <f t="shared" si="0"/>
        <v>95.048199990081287</v>
      </c>
    </row>
    <row r="69" spans="1:8" ht="27" customHeight="1" x14ac:dyDescent="0.4">
      <c r="A69" s="171" t="s">
        <v>105</v>
      </c>
      <c r="B69" s="188">
        <f>(D47*B68)/B56*B57</f>
        <v>1042.8145000000002</v>
      </c>
      <c r="C69" s="519"/>
      <c r="D69" s="522"/>
      <c r="E69" s="183">
        <v>2</v>
      </c>
      <c r="F69" s="136">
        <v>37022696</v>
      </c>
      <c r="G69" s="248">
        <f>IF(ISBLANK(F69),"-",(F69/$D$50*$D$47*$B$68)*($B$57/$D$68))</f>
        <v>760.85811142272541</v>
      </c>
      <c r="H69" s="266">
        <f t="shared" si="0"/>
        <v>95.107263927840677</v>
      </c>
    </row>
    <row r="70" spans="1:8" ht="26.25" customHeight="1" x14ac:dyDescent="0.4">
      <c r="A70" s="524" t="s">
        <v>78</v>
      </c>
      <c r="B70" s="525"/>
      <c r="C70" s="519"/>
      <c r="D70" s="522"/>
      <c r="E70" s="183">
        <v>3</v>
      </c>
      <c r="F70" s="136">
        <v>36996827</v>
      </c>
      <c r="G70" s="248">
        <f>IF(ISBLANK(F70),"-",(F70/$D$50*$D$47*$B$68)*($B$57/$D$68))</f>
        <v>760.32647432951126</v>
      </c>
      <c r="H70" s="266">
        <f t="shared" si="0"/>
        <v>95.040809291188907</v>
      </c>
    </row>
    <row r="71" spans="1:8" ht="27" customHeight="1" x14ac:dyDescent="0.4">
      <c r="A71" s="526"/>
      <c r="B71" s="527"/>
      <c r="C71" s="520"/>
      <c r="D71" s="523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774.47028566513779</v>
      </c>
      <c r="H72" s="268">
        <f>AVERAGE(H60:H71)</f>
        <v>96.808785708142224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1.3834882508916188E-2</v>
      </c>
      <c r="H73" s="252">
        <f>STDEV(H60:H71)/H72</f>
        <v>1.3834882508916188E-2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505" t="str">
        <f>B26</f>
        <v>Sulfamethoxazole</v>
      </c>
      <c r="D76" s="505"/>
      <c r="E76" s="197" t="s">
        <v>108</v>
      </c>
      <c r="F76" s="197"/>
      <c r="G76" s="284">
        <f>H72</f>
        <v>96.808785708142224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41" t="str">
        <f>B26</f>
        <v>Sulfamethoxazole</v>
      </c>
      <c r="C79" s="541"/>
    </row>
    <row r="80" spans="1:8" ht="26.25" customHeight="1" x14ac:dyDescent="0.4">
      <c r="A80" s="108" t="s">
        <v>48</v>
      </c>
      <c r="B80" s="541" t="str">
        <f>B27</f>
        <v>S12-6</v>
      </c>
      <c r="C80" s="541"/>
    </row>
    <row r="81" spans="1:12" ht="27" customHeight="1" x14ac:dyDescent="0.4">
      <c r="A81" s="108" t="s">
        <v>6</v>
      </c>
      <c r="B81" s="200">
        <f>B28</f>
        <v>99.02</v>
      </c>
    </row>
    <row r="82" spans="1:12" s="14" customFormat="1" ht="27" customHeight="1" x14ac:dyDescent="0.4">
      <c r="A82" s="108" t="s">
        <v>49</v>
      </c>
      <c r="B82" s="110">
        <v>0</v>
      </c>
      <c r="C82" s="507" t="s">
        <v>50</v>
      </c>
      <c r="D82" s="508"/>
      <c r="E82" s="508"/>
      <c r="F82" s="508"/>
      <c r="G82" s="509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99.02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510" t="s">
        <v>111</v>
      </c>
      <c r="D84" s="511"/>
      <c r="E84" s="511"/>
      <c r="F84" s="511"/>
      <c r="G84" s="511"/>
      <c r="H84" s="512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510" t="s">
        <v>112</v>
      </c>
      <c r="D85" s="511"/>
      <c r="E85" s="511"/>
      <c r="F85" s="511"/>
      <c r="G85" s="511"/>
      <c r="H85" s="51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1" t="s">
        <v>59</v>
      </c>
      <c r="E89" s="202"/>
      <c r="F89" s="513" t="s">
        <v>60</v>
      </c>
      <c r="G89" s="514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>
        <v>45500008</v>
      </c>
      <c r="E91" s="132">
        <f>IF(ISBLANK(D91),"-",$D$101/$D$98*D91)</f>
        <v>43199079.755325675</v>
      </c>
      <c r="F91" s="131">
        <v>40051273</v>
      </c>
      <c r="G91" s="133">
        <f>IF(ISBLANK(F91),"-",$D$101/$F$98*F91)</f>
        <v>42852771.891058661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45743910</v>
      </c>
      <c r="E92" s="137">
        <f>IF(ISBLANK(D92),"-",$D$101/$D$98*D92)</f>
        <v>43430647.669566117</v>
      </c>
      <c r="F92" s="136">
        <v>40171593</v>
      </c>
      <c r="G92" s="138">
        <f>IF(ISBLANK(F92),"-",$D$101/$F$98*F92)</f>
        <v>42981508.011729091</v>
      </c>
      <c r="I92" s="515">
        <f>ABS((F96/D96*D95)-F95)/D95</f>
        <v>8.4322008806976077E-3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45804787</v>
      </c>
      <c r="E93" s="137">
        <f>IF(ISBLANK(D93),"-",$D$101/$D$98*D93)</f>
        <v>43488446.129255727</v>
      </c>
      <c r="F93" s="136">
        <v>40233213</v>
      </c>
      <c r="G93" s="138">
        <f>IF(ISBLANK(F93),"-",$D$101/$F$98*F93)</f>
        <v>43047438.195868976</v>
      </c>
      <c r="I93" s="515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45682901.666666664</v>
      </c>
      <c r="E95" s="147">
        <f>AVERAGE(E91:E94)</f>
        <v>43372724.518049173</v>
      </c>
      <c r="F95" s="210">
        <f>AVERAGE(F91:F94)</f>
        <v>40152026.333333336</v>
      </c>
      <c r="G95" s="211">
        <f>AVERAGE(G91:G94)</f>
        <v>42960572.699552238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18.91</v>
      </c>
      <c r="E96" s="139"/>
      <c r="F96" s="151">
        <v>16.78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18.91</v>
      </c>
      <c r="E97" s="154"/>
      <c r="F97" s="153">
        <f>F96*$B$87</f>
        <v>16.78</v>
      </c>
    </row>
    <row r="98" spans="1:10" ht="19.5" customHeight="1" x14ac:dyDescent="0.3">
      <c r="A98" s="123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18.724682000000001</v>
      </c>
      <c r="E98" s="157"/>
      <c r="F98" s="156">
        <f>F97*$B$83/100</f>
        <v>16.615556000000002</v>
      </c>
    </row>
    <row r="99" spans="1:10" ht="19.5" customHeight="1" x14ac:dyDescent="0.3">
      <c r="A99" s="501" t="s">
        <v>78</v>
      </c>
      <c r="B99" s="516"/>
      <c r="C99" s="214" t="s">
        <v>116</v>
      </c>
      <c r="D99" s="218">
        <f>D98/$B$98</f>
        <v>0.18724682000000001</v>
      </c>
      <c r="E99" s="157"/>
      <c r="F99" s="160">
        <f>F98/$B$98</f>
        <v>0.16615556000000001</v>
      </c>
      <c r="G99" s="219"/>
      <c r="H99" s="149"/>
    </row>
    <row r="100" spans="1:10" ht="19.5" customHeight="1" x14ac:dyDescent="0.3">
      <c r="A100" s="503"/>
      <c r="B100" s="517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17.777777777777779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17.777777777777779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43166648.608800709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5.872556747738642E-3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10</v>
      </c>
      <c r="C108" s="274">
        <v>1</v>
      </c>
      <c r="D108" s="275">
        <v>36520683</v>
      </c>
      <c r="E108" s="249">
        <f t="shared" ref="E108:E113" si="1">IF(ISBLANK(D108),"-",D108/$D$103*$D$100*$B$116)</f>
        <v>676.83147387178462</v>
      </c>
      <c r="F108" s="276">
        <f t="shared" ref="F108:F113" si="2">IF(ISBLANK(D108), "-", (E108/$B$56)*100)</f>
        <v>84.603934233973078</v>
      </c>
    </row>
    <row r="109" spans="1:10" ht="26.25" customHeight="1" x14ac:dyDescent="0.4">
      <c r="A109" s="123" t="s">
        <v>95</v>
      </c>
      <c r="B109" s="124">
        <v>50</v>
      </c>
      <c r="C109" s="270">
        <v>2</v>
      </c>
      <c r="D109" s="272">
        <v>36523507</v>
      </c>
      <c r="E109" s="250">
        <f t="shared" si="1"/>
        <v>676.8838105732151</v>
      </c>
      <c r="F109" s="277">
        <f t="shared" si="2"/>
        <v>84.610476321651888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36716533</v>
      </c>
      <c r="E110" s="250">
        <f t="shared" si="1"/>
        <v>680.46112789982635</v>
      </c>
      <c r="F110" s="277">
        <f t="shared" si="2"/>
        <v>85.057640987478294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36865038</v>
      </c>
      <c r="E111" s="250">
        <f t="shared" si="1"/>
        <v>683.21334526737473</v>
      </c>
      <c r="F111" s="277">
        <f t="shared" si="2"/>
        <v>85.401668158421842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36741242</v>
      </c>
      <c r="E112" s="250">
        <f t="shared" si="1"/>
        <v>680.91905550451827</v>
      </c>
      <c r="F112" s="277">
        <f t="shared" si="2"/>
        <v>85.114881938064784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36750365</v>
      </c>
      <c r="E113" s="251">
        <f t="shared" si="1"/>
        <v>681.08813047872195</v>
      </c>
      <c r="F113" s="278">
        <f t="shared" si="2"/>
        <v>85.136016309840244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679.89949059924027</v>
      </c>
      <c r="F115" s="280">
        <f>AVERAGE(F108:F113)</f>
        <v>84.987436324905033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3.7357594016327383E-3</v>
      </c>
      <c r="F116" s="234">
        <f>STDEV(F108:F113)/F115</f>
        <v>3.7357594016327383E-3</v>
      </c>
      <c r="I116" s="97"/>
    </row>
    <row r="117" spans="1:10" ht="27" customHeight="1" x14ac:dyDescent="0.4">
      <c r="A117" s="501" t="s">
        <v>78</v>
      </c>
      <c r="B117" s="502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503"/>
      <c r="B118" s="504"/>
      <c r="C118" s="97"/>
      <c r="D118" s="259"/>
      <c r="E118" s="529" t="s">
        <v>123</v>
      </c>
      <c r="F118" s="530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676.83147387178462</v>
      </c>
      <c r="F119" s="281">
        <f>MIN(F108:F113)</f>
        <v>84.603934233973078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683.21334526737473</v>
      </c>
      <c r="F120" s="282">
        <f>MAX(F108:F113)</f>
        <v>85.401668158421842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505" t="str">
        <f>B26</f>
        <v>Sulfamethoxazole</v>
      </c>
      <c r="D124" s="505"/>
      <c r="E124" s="197" t="s">
        <v>127</v>
      </c>
      <c r="F124" s="197"/>
      <c r="G124" s="283">
        <f>F115</f>
        <v>84.987436324905033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84.603934233973078</v>
      </c>
      <c r="E125" s="208" t="s">
        <v>130</v>
      </c>
      <c r="F125" s="283">
        <f>MAX(F108:F113)</f>
        <v>85.401668158421842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06" t="s">
        <v>26</v>
      </c>
      <c r="C127" s="506"/>
      <c r="E127" s="203" t="s">
        <v>27</v>
      </c>
      <c r="F127" s="238"/>
      <c r="G127" s="506" t="s">
        <v>28</v>
      </c>
      <c r="H127" s="506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120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45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46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285"/>
    </row>
    <row r="16" spans="1:9" ht="19.5" customHeight="1" x14ac:dyDescent="0.3">
      <c r="A16" s="533" t="s">
        <v>31</v>
      </c>
      <c r="B16" s="534"/>
      <c r="C16" s="534"/>
      <c r="D16" s="534"/>
      <c r="E16" s="534"/>
      <c r="F16" s="534"/>
      <c r="G16" s="534"/>
      <c r="H16" s="535"/>
    </row>
    <row r="17" spans="1:14" ht="20.25" customHeight="1" x14ac:dyDescent="0.25">
      <c r="A17" s="536" t="s">
        <v>47</v>
      </c>
      <c r="B17" s="536"/>
      <c r="C17" s="536"/>
      <c r="D17" s="536"/>
      <c r="E17" s="536"/>
      <c r="F17" s="536"/>
      <c r="G17" s="536"/>
      <c r="H17" s="536"/>
    </row>
    <row r="18" spans="1:14" ht="26.25" customHeight="1" x14ac:dyDescent="0.4">
      <c r="A18" s="287" t="s">
        <v>33</v>
      </c>
      <c r="B18" s="532" t="s">
        <v>5</v>
      </c>
      <c r="C18" s="532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37" t="s">
        <v>9</v>
      </c>
      <c r="C20" s="537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37" t="s">
        <v>11</v>
      </c>
      <c r="C21" s="537"/>
      <c r="D21" s="537"/>
      <c r="E21" s="537"/>
      <c r="F21" s="537"/>
      <c r="G21" s="537"/>
      <c r="H21" s="537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31" t="s">
        <v>132</v>
      </c>
      <c r="C26" s="532"/>
    </row>
    <row r="27" spans="1:14" ht="26.25" customHeight="1" x14ac:dyDescent="0.4">
      <c r="A27" s="296" t="s">
        <v>48</v>
      </c>
      <c r="B27" s="538" t="s">
        <v>136</v>
      </c>
      <c r="C27" s="539"/>
    </row>
    <row r="28" spans="1:14" ht="27" customHeight="1" x14ac:dyDescent="0.4">
      <c r="A28" s="296" t="s">
        <v>6</v>
      </c>
      <c r="B28" s="297">
        <v>99.3</v>
      </c>
    </row>
    <row r="29" spans="1:14" s="14" customFormat="1" ht="27" customHeight="1" x14ac:dyDescent="0.4">
      <c r="A29" s="296" t="s">
        <v>49</v>
      </c>
      <c r="B29" s="298">
        <v>0</v>
      </c>
      <c r="C29" s="507" t="s">
        <v>50</v>
      </c>
      <c r="D29" s="508"/>
      <c r="E29" s="508"/>
      <c r="F29" s="508"/>
      <c r="G29" s="509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99.3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510" t="s">
        <v>53</v>
      </c>
      <c r="D31" s="511"/>
      <c r="E31" s="511"/>
      <c r="F31" s="511"/>
      <c r="G31" s="511"/>
      <c r="H31" s="512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510" t="s">
        <v>55</v>
      </c>
      <c r="D32" s="511"/>
      <c r="E32" s="511"/>
      <c r="F32" s="511"/>
      <c r="G32" s="511"/>
      <c r="H32" s="512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25</v>
      </c>
      <c r="C36" s="286"/>
      <c r="D36" s="513" t="s">
        <v>59</v>
      </c>
      <c r="E36" s="540"/>
      <c r="F36" s="513" t="s">
        <v>60</v>
      </c>
      <c r="G36" s="514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4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100</v>
      </c>
      <c r="C38" s="318">
        <v>1</v>
      </c>
      <c r="D38" s="319">
        <v>2841648</v>
      </c>
      <c r="E38" s="320">
        <f>IF(ISBLANK(D38),"-",$D$48/$D$45*D38)</f>
        <v>2811080.3126799185</v>
      </c>
      <c r="F38" s="319">
        <v>2974695</v>
      </c>
      <c r="G38" s="321">
        <f>IF(ISBLANK(F38),"-",$D$48/$F$45*F38)</f>
        <v>2843535.5031494787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2855316</v>
      </c>
      <c r="E39" s="325">
        <f>IF(ISBLANK(D39),"-",$D$48/$D$45*D39)</f>
        <v>2824601.2856201665</v>
      </c>
      <c r="F39" s="324">
        <v>2982040</v>
      </c>
      <c r="G39" s="326">
        <f>IF(ISBLANK(F39),"-",$D$48/$F$45*F39)</f>
        <v>2850556.6492739161</v>
      </c>
      <c r="I39" s="515">
        <f>ABS((F43/D43*D42)-F42)/D42</f>
        <v>1.0807682324765842E-2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2852952</v>
      </c>
      <c r="E40" s="325">
        <f>IF(ISBLANK(D40),"-",$D$48/$D$45*D40)</f>
        <v>2822262.7152345399</v>
      </c>
      <c r="F40" s="324">
        <v>2983741</v>
      </c>
      <c r="G40" s="326">
        <f>IF(ISBLANK(F40),"-",$D$48/$F$45*F40)</f>
        <v>2852182.649213694</v>
      </c>
      <c r="I40" s="515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2849972</v>
      </c>
      <c r="E42" s="335">
        <f>AVERAGE(E38:E41)</f>
        <v>2819314.7711782083</v>
      </c>
      <c r="F42" s="334">
        <f>AVERAGE(F38:F41)</f>
        <v>2980158.6666666665</v>
      </c>
      <c r="G42" s="336">
        <f>AVERAGE(G38:G41)</f>
        <v>2848758.267212363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20.36</v>
      </c>
      <c r="E43" s="327"/>
      <c r="F43" s="339">
        <v>21.07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20.36</v>
      </c>
      <c r="E44" s="342"/>
      <c r="F44" s="341">
        <f>F43*$B$34</f>
        <v>21.07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625</v>
      </c>
      <c r="C45" s="340" t="s">
        <v>77</v>
      </c>
      <c r="D45" s="344">
        <f>D44*$B$30/100</f>
        <v>20.217479999999998</v>
      </c>
      <c r="E45" s="345"/>
      <c r="F45" s="344">
        <f>F44*$B$30/100</f>
        <v>20.922509999999999</v>
      </c>
      <c r="H45" s="337"/>
    </row>
    <row r="46" spans="1:14" ht="19.5" customHeight="1" x14ac:dyDescent="0.3">
      <c r="A46" s="501" t="s">
        <v>78</v>
      </c>
      <c r="B46" s="502"/>
      <c r="C46" s="340" t="s">
        <v>79</v>
      </c>
      <c r="D46" s="346">
        <f>D45/$B$45</f>
        <v>3.2347967999999998E-2</v>
      </c>
      <c r="E46" s="347"/>
      <c r="F46" s="348">
        <f>F45/$B$45</f>
        <v>3.3476015999999997E-2</v>
      </c>
      <c r="H46" s="337"/>
    </row>
    <row r="47" spans="1:14" ht="27" customHeight="1" x14ac:dyDescent="0.4">
      <c r="A47" s="503"/>
      <c r="B47" s="504"/>
      <c r="C47" s="349" t="s">
        <v>80</v>
      </c>
      <c r="D47" s="350">
        <v>3.2000000000000001E-2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20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20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2834036.5191952861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6.0027874492597656E-3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contains: Sulphamethoxazole B.P. 800 mg and Trimethoprim B.P. 160 mg.</v>
      </c>
    </row>
    <row r="56" spans="1:12" ht="26.25" customHeight="1" x14ac:dyDescent="0.4">
      <c r="A56" s="364" t="s">
        <v>87</v>
      </c>
      <c r="B56" s="365">
        <v>160</v>
      </c>
      <c r="C56" s="286" t="str">
        <f>B20</f>
        <v>Sulfamethoxazole &amp; Trimethoprim</v>
      </c>
      <c r="H56" s="366"/>
    </row>
    <row r="57" spans="1:12" ht="18.75" x14ac:dyDescent="0.3">
      <c r="A57" s="363" t="s">
        <v>88</v>
      </c>
      <c r="B57" s="434">
        <f>Uniformity!C46</f>
        <v>1042.8145000000002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18" t="s">
        <v>94</v>
      </c>
      <c r="D60" s="521">
        <f>Sulfamethoxazole!D60</f>
        <v>1041.5</v>
      </c>
      <c r="E60" s="369">
        <v>1</v>
      </c>
      <c r="F60" s="370">
        <v>2850700</v>
      </c>
      <c r="G60" s="435">
        <f>IF(ISBLANK(F60),"-",(F60/$D$50*$D$47*$B$68)*($B$57/$D$60))</f>
        <v>161.1438899495017</v>
      </c>
      <c r="H60" s="453">
        <f t="shared" ref="H60:H71" si="0">IF(ISBLANK(F60),"-",(G60/$B$56)*100)</f>
        <v>100.71493121843855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19"/>
      <c r="D61" s="522"/>
      <c r="E61" s="371">
        <v>2</v>
      </c>
      <c r="F61" s="324">
        <v>2807521</v>
      </c>
      <c r="G61" s="436">
        <f>IF(ISBLANK(F61),"-",(F61/$D$50*$D$47*$B$68)*($B$57/$D$60))</f>
        <v>158.70307470267477</v>
      </c>
      <c r="H61" s="454">
        <f t="shared" si="0"/>
        <v>99.189421689171724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19"/>
      <c r="D62" s="522"/>
      <c r="E62" s="371">
        <v>3</v>
      </c>
      <c r="F62" s="372">
        <v>2820930</v>
      </c>
      <c r="G62" s="436">
        <f>IF(ISBLANK(F62),"-",(F62/$D$50*$D$47*$B$68)*($B$57/$D$60))</f>
        <v>159.46105639851538</v>
      </c>
      <c r="H62" s="454">
        <f t="shared" si="0"/>
        <v>99.663160249072121</v>
      </c>
      <c r="L62" s="299"/>
    </row>
    <row r="63" spans="1:12" ht="27" customHeight="1" x14ac:dyDescent="0.4">
      <c r="A63" s="311" t="s">
        <v>97</v>
      </c>
      <c r="B63" s="312">
        <v>1</v>
      </c>
      <c r="C63" s="528"/>
      <c r="D63" s="523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18" t="s">
        <v>99</v>
      </c>
      <c r="D64" s="521">
        <f>Sulfamethoxazole!D64</f>
        <v>1043.1600000000001</v>
      </c>
      <c r="E64" s="369">
        <v>1</v>
      </c>
      <c r="F64" s="370">
        <v>2842547</v>
      </c>
      <c r="G64" s="435">
        <f>IF(ISBLANK(F64),"-",(F64/$D$50*$D$47*$B$68)*($B$57/$D$64))</f>
        <v>160.42732064745559</v>
      </c>
      <c r="H64" s="453">
        <f t="shared" si="0"/>
        <v>100.26707540465974</v>
      </c>
    </row>
    <row r="65" spans="1:8" ht="26.25" customHeight="1" x14ac:dyDescent="0.4">
      <c r="A65" s="311" t="s">
        <v>100</v>
      </c>
      <c r="B65" s="312">
        <v>1</v>
      </c>
      <c r="C65" s="519"/>
      <c r="D65" s="522"/>
      <c r="E65" s="371">
        <v>2</v>
      </c>
      <c r="F65" s="324">
        <v>2832177</v>
      </c>
      <c r="G65" s="436">
        <f>IF(ISBLANK(F65),"-",(F65/$D$50*$D$47*$B$68)*($B$57/$D$64))</f>
        <v>159.84205985313483</v>
      </c>
      <c r="H65" s="454">
        <f t="shared" si="0"/>
        <v>99.901287408209271</v>
      </c>
    </row>
    <row r="66" spans="1:8" ht="26.25" customHeight="1" x14ac:dyDescent="0.4">
      <c r="A66" s="311" t="s">
        <v>101</v>
      </c>
      <c r="B66" s="312">
        <v>1</v>
      </c>
      <c r="C66" s="519"/>
      <c r="D66" s="522"/>
      <c r="E66" s="371">
        <v>3</v>
      </c>
      <c r="F66" s="324">
        <v>2837713</v>
      </c>
      <c r="G66" s="436">
        <f>IF(ISBLANK(F66),"-",(F66/$D$50*$D$47*$B$68)*($B$57/$D$64))</f>
        <v>160.15449994545497</v>
      </c>
      <c r="H66" s="454">
        <f t="shared" si="0"/>
        <v>100.09656246590937</v>
      </c>
    </row>
    <row r="67" spans="1:8" ht="27" customHeight="1" x14ac:dyDescent="0.4">
      <c r="A67" s="311" t="s">
        <v>102</v>
      </c>
      <c r="B67" s="312">
        <v>1</v>
      </c>
      <c r="C67" s="528"/>
      <c r="D67" s="523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18" t="s">
        <v>104</v>
      </c>
      <c r="D68" s="521">
        <f>Sulfamethoxazole!D68</f>
        <v>1044.8900000000001</v>
      </c>
      <c r="E68" s="369">
        <v>1</v>
      </c>
      <c r="F68" s="370">
        <v>2757896</v>
      </c>
      <c r="G68" s="435">
        <f>IF(ISBLANK(F68),"-",(F68/$D$50*$D$47*$B$68)*($B$57/$D$68))</f>
        <v>155.39209210166524</v>
      </c>
      <c r="H68" s="454">
        <f t="shared" si="0"/>
        <v>97.120057563540769</v>
      </c>
    </row>
    <row r="69" spans="1:8" ht="27" customHeight="1" x14ac:dyDescent="0.4">
      <c r="A69" s="359" t="s">
        <v>105</v>
      </c>
      <c r="B69" s="376">
        <f>(D47*B68)/B56*B57</f>
        <v>1042.8145000000002</v>
      </c>
      <c r="C69" s="519"/>
      <c r="D69" s="522"/>
      <c r="E69" s="371">
        <v>2</v>
      </c>
      <c r="F69" s="324">
        <v>2760307</v>
      </c>
      <c r="G69" s="436">
        <f>IF(ISBLANK(F69),"-",(F69/$D$50*$D$47*$B$68)*($B$57/$D$68))</f>
        <v>155.52793853461887</v>
      </c>
      <c r="H69" s="454">
        <f t="shared" si="0"/>
        <v>97.204961584136797</v>
      </c>
    </row>
    <row r="70" spans="1:8" ht="26.25" customHeight="1" x14ac:dyDescent="0.4">
      <c r="A70" s="524" t="s">
        <v>78</v>
      </c>
      <c r="B70" s="525"/>
      <c r="C70" s="519"/>
      <c r="D70" s="522"/>
      <c r="E70" s="371">
        <v>3</v>
      </c>
      <c r="F70" s="324">
        <v>2757913</v>
      </c>
      <c r="G70" s="436">
        <f>IF(ISBLANK(F70),"-",(F70/$D$50*$D$47*$B$68)*($B$57/$D$68))</f>
        <v>155.39304995706144</v>
      </c>
      <c r="H70" s="454">
        <f t="shared" si="0"/>
        <v>97.120656223163394</v>
      </c>
    </row>
    <row r="71" spans="1:8" ht="27" customHeight="1" x14ac:dyDescent="0.4">
      <c r="A71" s="526"/>
      <c r="B71" s="527"/>
      <c r="C71" s="520"/>
      <c r="D71" s="523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158.44944245445365</v>
      </c>
      <c r="H72" s="456">
        <f>AVERAGE(H60:H71)</f>
        <v>99.030901534033518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1.4856462002921329E-2</v>
      </c>
      <c r="H73" s="440">
        <f>STDEV(H60:H71)/H72</f>
        <v>1.4856462002921336E-2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05" t="str">
        <f>B26</f>
        <v>Trimethoprim</v>
      </c>
      <c r="D76" s="505"/>
      <c r="E76" s="385" t="s">
        <v>108</v>
      </c>
      <c r="F76" s="385"/>
      <c r="G76" s="472">
        <f>H72</f>
        <v>99.030901534033518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41" t="str">
        <f>B26</f>
        <v>Trimethoprim</v>
      </c>
      <c r="C79" s="541"/>
    </row>
    <row r="80" spans="1:8" ht="26.25" customHeight="1" x14ac:dyDescent="0.4">
      <c r="A80" s="296" t="s">
        <v>48</v>
      </c>
      <c r="B80" s="541" t="str">
        <f>B27</f>
        <v>T7-4</v>
      </c>
      <c r="C80" s="541"/>
    </row>
    <row r="81" spans="1:12" ht="27" customHeight="1" x14ac:dyDescent="0.4">
      <c r="A81" s="296" t="s">
        <v>6</v>
      </c>
      <c r="B81" s="388">
        <f>B28</f>
        <v>99.3</v>
      </c>
    </row>
    <row r="82" spans="1:12" s="14" customFormat="1" ht="27" customHeight="1" x14ac:dyDescent="0.4">
      <c r="A82" s="296" t="s">
        <v>49</v>
      </c>
      <c r="B82" s="298">
        <v>0</v>
      </c>
      <c r="C82" s="507" t="s">
        <v>50</v>
      </c>
      <c r="D82" s="508"/>
      <c r="E82" s="508"/>
      <c r="F82" s="508"/>
      <c r="G82" s="509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99.3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510" t="s">
        <v>111</v>
      </c>
      <c r="D84" s="511"/>
      <c r="E84" s="511"/>
      <c r="F84" s="511"/>
      <c r="G84" s="511"/>
      <c r="H84" s="512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510" t="s">
        <v>112</v>
      </c>
      <c r="D85" s="511"/>
      <c r="E85" s="511"/>
      <c r="F85" s="511"/>
      <c r="G85" s="511"/>
      <c r="H85" s="512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25</v>
      </c>
      <c r="D89" s="389" t="s">
        <v>59</v>
      </c>
      <c r="E89" s="390"/>
      <c r="F89" s="513" t="s">
        <v>60</v>
      </c>
      <c r="G89" s="514"/>
    </row>
    <row r="90" spans="1:12" ht="27" customHeight="1" x14ac:dyDescent="0.4">
      <c r="A90" s="311" t="s">
        <v>61</v>
      </c>
      <c r="B90" s="312">
        <v>4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100</v>
      </c>
      <c r="C91" s="393">
        <v>1</v>
      </c>
      <c r="D91" s="319">
        <v>2841648</v>
      </c>
      <c r="E91" s="320">
        <f>IF(ISBLANK(D91),"-",$D$101/$D$98*D91)</f>
        <v>3123422.5696443538</v>
      </c>
      <c r="F91" s="319">
        <v>2974695</v>
      </c>
      <c r="G91" s="321">
        <f>IF(ISBLANK(F91),"-",$D$101/$F$98*F91)</f>
        <v>3159483.8923883094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2855316</v>
      </c>
      <c r="E92" s="325">
        <f>IF(ISBLANK(D92),"-",$D$101/$D$98*D92)</f>
        <v>3138445.8729112959</v>
      </c>
      <c r="F92" s="324">
        <v>2982040</v>
      </c>
      <c r="G92" s="326">
        <f>IF(ISBLANK(F92),"-",$D$101/$F$98*F92)</f>
        <v>3167285.1658599065</v>
      </c>
      <c r="I92" s="515">
        <f>ABS((F96/D96*D95)-F95)/D95</f>
        <v>1.0807682324765842E-2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2852952</v>
      </c>
      <c r="E93" s="325">
        <f>IF(ISBLANK(D93),"-",$D$101/$D$98*D93)</f>
        <v>3135847.4613717105</v>
      </c>
      <c r="F93" s="324">
        <v>2983741</v>
      </c>
      <c r="G93" s="326">
        <f>IF(ISBLANK(F93),"-",$D$101/$F$98*F93)</f>
        <v>3169091.8324596593</v>
      </c>
      <c r="I93" s="515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2849972</v>
      </c>
      <c r="E95" s="335">
        <f>AVERAGE(E91:E94)</f>
        <v>3132571.9679757864</v>
      </c>
      <c r="F95" s="398">
        <f>AVERAGE(F91:F94)</f>
        <v>2980158.6666666665</v>
      </c>
      <c r="G95" s="399">
        <f>AVERAGE(G91:G94)</f>
        <v>3165286.9635692923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20.36</v>
      </c>
      <c r="E96" s="327"/>
      <c r="F96" s="339">
        <v>21.07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20.36</v>
      </c>
      <c r="E97" s="342"/>
      <c r="F97" s="341">
        <f>F96*$B$87</f>
        <v>21.07</v>
      </c>
    </row>
    <row r="98" spans="1:10" ht="19.5" customHeight="1" x14ac:dyDescent="0.3">
      <c r="A98" s="311" t="s">
        <v>76</v>
      </c>
      <c r="B98" s="404">
        <f>(B97/B96)*(B95/B94)*(B93/B92)*(B91/B90)*B89</f>
        <v>625</v>
      </c>
      <c r="C98" s="402" t="s">
        <v>115</v>
      </c>
      <c r="D98" s="405">
        <f>D97*$B$83/100</f>
        <v>20.217479999999998</v>
      </c>
      <c r="E98" s="345"/>
      <c r="F98" s="344">
        <f>F97*$B$83/100</f>
        <v>20.922509999999999</v>
      </c>
    </row>
    <row r="99" spans="1:10" ht="19.5" customHeight="1" x14ac:dyDescent="0.3">
      <c r="A99" s="501" t="s">
        <v>78</v>
      </c>
      <c r="B99" s="516"/>
      <c r="C99" s="402" t="s">
        <v>116</v>
      </c>
      <c r="D99" s="406">
        <f>D98/$B$98</f>
        <v>3.2347967999999998E-2</v>
      </c>
      <c r="E99" s="345"/>
      <c r="F99" s="348">
        <f>F98/$B$98</f>
        <v>3.3476015999999997E-2</v>
      </c>
      <c r="G99" s="407"/>
      <c r="H99" s="337"/>
    </row>
    <row r="100" spans="1:10" ht="19.5" customHeight="1" x14ac:dyDescent="0.3">
      <c r="A100" s="503"/>
      <c r="B100" s="517"/>
      <c r="C100" s="402" t="s">
        <v>80</v>
      </c>
      <c r="D100" s="408">
        <f>$B$56/$B$116</f>
        <v>3.5555555555555556E-2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22.222222222222221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22.222222222222221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3148929.4657725394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6.0027874492597187E-3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10</v>
      </c>
      <c r="C108" s="462">
        <v>1</v>
      </c>
      <c r="D108" s="463">
        <v>2758310</v>
      </c>
      <c r="E108" s="437">
        <f t="shared" ref="E108:E113" si="1">IF(ISBLANK(D108),"-",D108/$D$103*$D$100*$B$116)</f>
        <v>140.15226596754744</v>
      </c>
      <c r="F108" s="464">
        <f t="shared" ref="F108:F113" si="2">IF(ISBLANK(D108), "-", (E108/$B$56)*100)</f>
        <v>87.595166229717151</v>
      </c>
    </row>
    <row r="109" spans="1:10" ht="26.25" customHeight="1" x14ac:dyDescent="0.4">
      <c r="A109" s="311" t="s">
        <v>95</v>
      </c>
      <c r="B109" s="312">
        <v>50</v>
      </c>
      <c r="C109" s="458">
        <v>2</v>
      </c>
      <c r="D109" s="460">
        <v>2761524</v>
      </c>
      <c r="E109" s="438">
        <f t="shared" si="1"/>
        <v>140.31557226119088</v>
      </c>
      <c r="F109" s="465">
        <f t="shared" si="2"/>
        <v>87.697232663244293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2762885</v>
      </c>
      <c r="E110" s="438">
        <f t="shared" si="1"/>
        <v>140.38472592194034</v>
      </c>
      <c r="F110" s="465">
        <f t="shared" si="2"/>
        <v>87.740453701212715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2779272</v>
      </c>
      <c r="E111" s="438">
        <f t="shared" si="1"/>
        <v>141.21736445147846</v>
      </c>
      <c r="F111" s="465">
        <f t="shared" si="2"/>
        <v>88.260852782174041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2769175</v>
      </c>
      <c r="E112" s="438">
        <f t="shared" si="1"/>
        <v>140.70432660240624</v>
      </c>
      <c r="F112" s="465">
        <f t="shared" si="2"/>
        <v>87.9402041265039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2771681</v>
      </c>
      <c r="E113" s="439">
        <f t="shared" si="1"/>
        <v>140.83165876540266</v>
      </c>
      <c r="F113" s="466">
        <f t="shared" si="2"/>
        <v>88.019786728376673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140.60098566166099</v>
      </c>
      <c r="F115" s="468">
        <f>AVERAGE(F108:F113)</f>
        <v>87.875616038538126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2.7972166385810747E-3</v>
      </c>
      <c r="F116" s="422">
        <f>STDEV(F108:F113)/F115</f>
        <v>2.797216638581099E-3</v>
      </c>
      <c r="I116" s="285"/>
    </row>
    <row r="117" spans="1:10" ht="27" customHeight="1" x14ac:dyDescent="0.4">
      <c r="A117" s="501" t="s">
        <v>78</v>
      </c>
      <c r="B117" s="502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3"/>
      <c r="B118" s="504"/>
      <c r="C118" s="285"/>
      <c r="D118" s="447"/>
      <c r="E118" s="529" t="s">
        <v>123</v>
      </c>
      <c r="F118" s="530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140.15226596754744</v>
      </c>
      <c r="F119" s="469">
        <f>MIN(F108:F113)</f>
        <v>87.595166229717151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141.21736445147846</v>
      </c>
      <c r="F120" s="470">
        <f>MAX(F108:F113)</f>
        <v>88.260852782174041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05" t="str">
        <f>B26</f>
        <v>Trimethoprim</v>
      </c>
      <c r="D124" s="505"/>
      <c r="E124" s="385" t="s">
        <v>127</v>
      </c>
      <c r="F124" s="385"/>
      <c r="G124" s="471">
        <f>F115</f>
        <v>87.875616038538126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87.595166229717151</v>
      </c>
      <c r="E125" s="396" t="s">
        <v>130</v>
      </c>
      <c r="F125" s="471">
        <f>MAX(F108:F113)</f>
        <v>88.260852782174041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06" t="s">
        <v>26</v>
      </c>
      <c r="C127" s="506"/>
      <c r="E127" s="391" t="s">
        <v>27</v>
      </c>
      <c r="F127" s="426"/>
      <c r="G127" s="506" t="s">
        <v>28</v>
      </c>
      <c r="H127" s="50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D28" sqref="D28"/>
    </sheetView>
  </sheetViews>
  <sheetFormatPr defaultRowHeight="13.5" x14ac:dyDescent="0.25"/>
  <cols>
    <col min="1" max="1" width="25.710937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5" t="s">
        <v>0</v>
      </c>
      <c r="B15" s="485"/>
      <c r="C15" s="485"/>
      <c r="D15" s="485"/>
      <c r="E15" s="485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407" t="s">
        <v>132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20.36</v>
      </c>
      <c r="C20" s="71"/>
      <c r="D20" s="71"/>
      <c r="E20" s="71"/>
    </row>
    <row r="21" spans="1:5" ht="16.5" customHeight="1" x14ac:dyDescent="0.3">
      <c r="A21" s="8" t="s">
        <v>10</v>
      </c>
      <c r="B21" s="13">
        <f>B20/25*4/100</f>
        <v>3.2576000000000001E-2</v>
      </c>
      <c r="C21" s="71"/>
      <c r="D21" s="71"/>
      <c r="E21" s="71"/>
    </row>
    <row r="22" spans="1:5" ht="15.75" customHeight="1" x14ac:dyDescent="0.25">
      <c r="A22" s="71"/>
      <c r="B22" s="71" t="s">
        <v>12</v>
      </c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2835304</v>
      </c>
      <c r="C24" s="18">
        <v>5841.8</v>
      </c>
      <c r="D24" s="19">
        <v>1.3</v>
      </c>
      <c r="E24" s="20">
        <v>5.6</v>
      </c>
    </row>
    <row r="25" spans="1:5" ht="16.5" customHeight="1" x14ac:dyDescent="0.3">
      <c r="A25" s="17">
        <v>2</v>
      </c>
      <c r="B25" s="18">
        <v>2847130</v>
      </c>
      <c r="C25" s="18">
        <v>5976</v>
      </c>
      <c r="D25" s="19">
        <v>1.2</v>
      </c>
      <c r="E25" s="19">
        <v>5.6</v>
      </c>
    </row>
    <row r="26" spans="1:5" ht="16.5" customHeight="1" x14ac:dyDescent="0.3">
      <c r="A26" s="17">
        <v>3</v>
      </c>
      <c r="B26" s="18">
        <v>2847723</v>
      </c>
      <c r="C26" s="18">
        <v>6096.6</v>
      </c>
      <c r="D26" s="19">
        <v>1.2</v>
      </c>
      <c r="E26" s="19">
        <v>5.6</v>
      </c>
    </row>
    <row r="27" spans="1:5" ht="16.5" customHeight="1" x14ac:dyDescent="0.3">
      <c r="A27" s="17">
        <v>4</v>
      </c>
      <c r="B27" s="18">
        <v>2852722</v>
      </c>
      <c r="C27" s="18">
        <v>6171</v>
      </c>
      <c r="D27" s="19">
        <v>1.2</v>
      </c>
      <c r="E27" s="19">
        <v>5.6</v>
      </c>
    </row>
    <row r="28" spans="1:5" ht="16.5" customHeight="1" x14ac:dyDescent="0.3">
      <c r="A28" s="17">
        <v>5</v>
      </c>
      <c r="B28" s="18">
        <v>2845871</v>
      </c>
      <c r="C28" s="18">
        <v>6257.2</v>
      </c>
      <c r="D28" s="19">
        <v>1.2</v>
      </c>
      <c r="E28" s="19">
        <v>5.6</v>
      </c>
    </row>
    <row r="29" spans="1:5" ht="16.5" customHeight="1" x14ac:dyDescent="0.3">
      <c r="A29" s="17">
        <v>6</v>
      </c>
      <c r="B29" s="21">
        <v>2854565</v>
      </c>
      <c r="C29" s="21">
        <v>6351.1</v>
      </c>
      <c r="D29" s="22">
        <v>1.2</v>
      </c>
      <c r="E29" s="22">
        <v>5.6</v>
      </c>
    </row>
    <row r="30" spans="1:5" ht="16.5" customHeight="1" x14ac:dyDescent="0.3">
      <c r="A30" s="23" t="s">
        <v>18</v>
      </c>
      <c r="B30" s="24">
        <f>AVERAGE(B24:B29)</f>
        <v>2847219.1666666665</v>
      </c>
      <c r="C30" s="543">
        <f>AVERAGE(C24:C29)</f>
        <v>6115.6166666666677</v>
      </c>
      <c r="D30" s="26">
        <f>AVERAGE(D24:D29)</f>
        <v>1.2166666666666668</v>
      </c>
      <c r="E30" s="26">
        <f>AVERAGE(E24:E29)</f>
        <v>5.6000000000000005</v>
      </c>
    </row>
    <row r="31" spans="1:5" ht="16.5" customHeight="1" x14ac:dyDescent="0.3">
      <c r="A31" s="27" t="s">
        <v>19</v>
      </c>
      <c r="B31" s="28">
        <f>(STDEV(B24:B29)/B30)</f>
        <v>2.3732330522152592E-3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7" customFormat="1" ht="15.75" customHeight="1" x14ac:dyDescent="0.25">
      <c r="A33" s="71"/>
      <c r="B33" s="71"/>
      <c r="C33" s="71"/>
      <c r="D33" s="71"/>
      <c r="E33" s="71"/>
    </row>
    <row r="34" spans="1:5" s="407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132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99.3</v>
      </c>
      <c r="C40" s="71"/>
      <c r="D40" s="71"/>
      <c r="E40" s="71"/>
    </row>
    <row r="41" spans="1:5" ht="16.5" customHeight="1" x14ac:dyDescent="0.3">
      <c r="A41" s="8" t="s">
        <v>8</v>
      </c>
      <c r="B41" s="12">
        <v>20.36</v>
      </c>
      <c r="C41" s="71"/>
      <c r="D41" s="71"/>
      <c r="E41" s="71"/>
    </row>
    <row r="42" spans="1:5" ht="16.5" customHeight="1" x14ac:dyDescent="0.3">
      <c r="A42" s="8" t="s">
        <v>10</v>
      </c>
      <c r="B42" s="13">
        <v>3.2576000000000001E-2</v>
      </c>
      <c r="C42" s="71"/>
      <c r="D42" s="71"/>
      <c r="E42" s="71"/>
    </row>
    <row r="43" spans="1:5" ht="15.75" customHeight="1" x14ac:dyDescent="0.25">
      <c r="A43" s="71"/>
      <c r="B43" s="71" t="s">
        <v>12</v>
      </c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2835304</v>
      </c>
      <c r="C45" s="18">
        <v>5841.8</v>
      </c>
      <c r="D45" s="19">
        <v>1.3</v>
      </c>
      <c r="E45" s="20">
        <v>5.6</v>
      </c>
    </row>
    <row r="46" spans="1:5" ht="16.5" customHeight="1" x14ac:dyDescent="0.3">
      <c r="A46" s="17">
        <v>2</v>
      </c>
      <c r="B46" s="18">
        <v>2847130</v>
      </c>
      <c r="C46" s="18">
        <v>5976</v>
      </c>
      <c r="D46" s="19">
        <v>1.2</v>
      </c>
      <c r="E46" s="19">
        <v>5.6</v>
      </c>
    </row>
    <row r="47" spans="1:5" ht="16.5" customHeight="1" x14ac:dyDescent="0.3">
      <c r="A47" s="17">
        <v>3</v>
      </c>
      <c r="B47" s="18">
        <v>2847723</v>
      </c>
      <c r="C47" s="18">
        <v>6096.6</v>
      </c>
      <c r="D47" s="19">
        <v>1.2</v>
      </c>
      <c r="E47" s="19">
        <v>5.6</v>
      </c>
    </row>
    <row r="48" spans="1:5" ht="16.5" customHeight="1" x14ac:dyDescent="0.3">
      <c r="A48" s="17">
        <v>4</v>
      </c>
      <c r="B48" s="18">
        <v>2852722</v>
      </c>
      <c r="C48" s="18">
        <v>6171</v>
      </c>
      <c r="D48" s="19">
        <v>1.2</v>
      </c>
      <c r="E48" s="19">
        <v>5.6</v>
      </c>
    </row>
    <row r="49" spans="1:7" ht="16.5" customHeight="1" x14ac:dyDescent="0.3">
      <c r="A49" s="17">
        <v>5</v>
      </c>
      <c r="B49" s="18">
        <v>2845871</v>
      </c>
      <c r="C49" s="18">
        <v>6257.2</v>
      </c>
      <c r="D49" s="19">
        <v>1.2</v>
      </c>
      <c r="E49" s="19">
        <v>5.6</v>
      </c>
    </row>
    <row r="50" spans="1:7" ht="16.5" customHeight="1" x14ac:dyDescent="0.3">
      <c r="A50" s="17">
        <v>6</v>
      </c>
      <c r="B50" s="21">
        <v>2854565</v>
      </c>
      <c r="C50" s="21">
        <v>6351.1</v>
      </c>
      <c r="D50" s="22">
        <v>1.2</v>
      </c>
      <c r="E50" s="22">
        <v>5.6</v>
      </c>
    </row>
    <row r="51" spans="1:7" ht="16.5" customHeight="1" x14ac:dyDescent="0.3">
      <c r="A51" s="23" t="s">
        <v>18</v>
      </c>
      <c r="B51" s="24">
        <f>AVERAGE(B45:B50)</f>
        <v>2847219.1666666665</v>
      </c>
      <c r="C51" s="543">
        <f>AVERAGE(C45:C50)</f>
        <v>6115.6166666666677</v>
      </c>
      <c r="D51" s="26">
        <f>AVERAGE(D45:D50)</f>
        <v>1.2166666666666668</v>
      </c>
      <c r="E51" s="26">
        <f>AVERAGE(E45:E50)</f>
        <v>5.6000000000000005</v>
      </c>
    </row>
    <row r="52" spans="1:7" ht="16.5" customHeight="1" x14ac:dyDescent="0.3">
      <c r="A52" s="27" t="s">
        <v>19</v>
      </c>
      <c r="B52" s="28">
        <f>(STDEV(B45:B50)/B51)</f>
        <v>2.3732330522152592E-3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407" customFormat="1" ht="15.75" customHeight="1" x14ac:dyDescent="0.25">
      <c r="A54" s="71"/>
      <c r="B54" s="71"/>
      <c r="C54" s="71"/>
      <c r="D54" s="71"/>
      <c r="E54" s="71"/>
    </row>
    <row r="55" spans="1:7" s="407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474"/>
      <c r="D58" s="42"/>
      <c r="F58" s="43"/>
      <c r="G58" s="43"/>
    </row>
    <row r="59" spans="1:7" ht="15" customHeight="1" x14ac:dyDescent="0.3">
      <c r="B59" s="486" t="s">
        <v>26</v>
      </c>
      <c r="C59" s="486"/>
      <c r="E59" s="473" t="s">
        <v>27</v>
      </c>
      <c r="F59" s="45"/>
      <c r="G59" s="473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sulfamethoxazole sst</vt:lpstr>
      <vt:lpstr>Uniformity</vt:lpstr>
      <vt:lpstr>Sulfamethoxazole</vt:lpstr>
      <vt:lpstr>Trimethoprim</vt:lpstr>
      <vt:lpstr>Trimethoprim sst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2017-08-17T06:13:12Z</cp:lastPrinted>
  <dcterms:created xsi:type="dcterms:W3CDTF">2005-07-05T10:19:27Z</dcterms:created>
  <dcterms:modified xsi:type="dcterms:W3CDTF">2017-08-21T08:55:11Z</dcterms:modified>
</cp:coreProperties>
</file>