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Sulfamethoxazole - Trimethoprim\"/>
    </mc:Choice>
  </mc:AlternateContent>
  <bookViews>
    <workbookView xWindow="0" yWindow="0" windowWidth="20460" windowHeight="7575" activeTab="3"/>
  </bookViews>
  <sheets>
    <sheet name="sulfamethoxazole sst" sheetId="5" r:id="rId1"/>
    <sheet name="Sulfamethoxazole" sheetId="6" r:id="rId2"/>
    <sheet name="Trimethoprim" sheetId="7" r:id="rId3"/>
    <sheet name="Trimethoprim sst" sheetId="8" r:id="rId4"/>
    <sheet name="Uniformity" sheetId="2" r:id="rId5"/>
  </sheet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F51" i="5" l="1"/>
  <c r="F30" i="5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C124" i="7"/>
  <c r="B116" i="7"/>
  <c r="D100" i="7"/>
  <c r="D101" i="7" s="1"/>
  <c r="B98" i="7"/>
  <c r="F95" i="7"/>
  <c r="D95" i="7"/>
  <c r="I92" i="7" s="1"/>
  <c r="G94" i="7"/>
  <c r="E94" i="7"/>
  <c r="B87" i="7"/>
  <c r="F97" i="7" s="1"/>
  <c r="F98" i="7" s="1"/>
  <c r="F99" i="7" s="1"/>
  <c r="B81" i="7"/>
  <c r="B83" i="7" s="1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I39" i="7" s="1"/>
  <c r="G41" i="7"/>
  <c r="E41" i="7"/>
  <c r="B34" i="7"/>
  <c r="D44" i="7" s="1"/>
  <c r="B30" i="7"/>
  <c r="C124" i="6"/>
  <c r="B116" i="6"/>
  <c r="D100" i="6"/>
  <c r="D101" i="6" s="1"/>
  <c r="D102" i="6" s="1"/>
  <c r="B98" i="6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I39" i="6" s="1"/>
  <c r="G41" i="6"/>
  <c r="E41" i="6"/>
  <c r="B34" i="6"/>
  <c r="F44" i="6" s="1"/>
  <c r="F45" i="6" s="1"/>
  <c r="F46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D49" i="6" l="1"/>
  <c r="D97" i="6"/>
  <c r="D98" i="6" s="1"/>
  <c r="D45" i="7"/>
  <c r="D46" i="7" s="1"/>
  <c r="F44" i="7"/>
  <c r="F45" i="7" s="1"/>
  <c r="F46" i="7" s="1"/>
  <c r="D97" i="7"/>
  <c r="D44" i="6"/>
  <c r="D45" i="6" s="1"/>
  <c r="D46" i="6" s="1"/>
  <c r="F98" i="6"/>
  <c r="I92" i="6"/>
  <c r="D98" i="7"/>
  <c r="D99" i="7" s="1"/>
  <c r="G91" i="6"/>
  <c r="F99" i="6"/>
  <c r="G39" i="7"/>
  <c r="G40" i="7"/>
  <c r="E39" i="7"/>
  <c r="D49" i="7"/>
  <c r="E40" i="7"/>
  <c r="G38" i="7"/>
  <c r="G42" i="7" s="1"/>
  <c r="E38" i="7"/>
  <c r="G91" i="7"/>
  <c r="E91" i="7"/>
  <c r="G92" i="7"/>
  <c r="D102" i="7"/>
  <c r="G93" i="7"/>
  <c r="E92" i="7"/>
  <c r="G38" i="6"/>
  <c r="E39" i="6"/>
  <c r="G40" i="6"/>
  <c r="G92" i="6"/>
  <c r="G39" i="6"/>
  <c r="E40" i="6"/>
  <c r="G93" i="6"/>
  <c r="C46" i="2"/>
  <c r="C45" i="2"/>
  <c r="D40" i="2"/>
  <c r="D36" i="2"/>
  <c r="D32" i="2"/>
  <c r="D28" i="2"/>
  <c r="D24" i="2"/>
  <c r="C19" i="2"/>
  <c r="E92" i="6" l="1"/>
  <c r="E91" i="6"/>
  <c r="E93" i="7"/>
  <c r="E95" i="7" s="1"/>
  <c r="E38" i="6"/>
  <c r="E42" i="6" s="1"/>
  <c r="B57" i="7"/>
  <c r="B69" i="7" s="1"/>
  <c r="B57" i="6"/>
  <c r="B69" i="6" s="1"/>
  <c r="G42" i="6"/>
  <c r="G95" i="7"/>
  <c r="D105" i="7"/>
  <c r="D103" i="7"/>
  <c r="D52" i="6"/>
  <c r="D99" i="6"/>
  <c r="E93" i="6"/>
  <c r="D50" i="7"/>
  <c r="E42" i="7"/>
  <c r="D52" i="7"/>
  <c r="G95" i="6"/>
  <c r="D26" i="2"/>
  <c r="D34" i="2"/>
  <c r="D42" i="2"/>
  <c r="D50" i="2"/>
  <c r="D27" i="2"/>
  <c r="D31" i="2"/>
  <c r="D35" i="2"/>
  <c r="D39" i="2"/>
  <c r="D43" i="2"/>
  <c r="C49" i="2"/>
  <c r="D49" i="2"/>
  <c r="D25" i="2"/>
  <c r="D37" i="2"/>
  <c r="D29" i="2"/>
  <c r="D33" i="2"/>
  <c r="D41" i="2"/>
  <c r="C50" i="2"/>
  <c r="D30" i="2"/>
  <c r="D38" i="2"/>
  <c r="B49" i="2"/>
  <c r="D103" i="6" l="1"/>
  <c r="D50" i="6"/>
  <c r="D104" i="7"/>
  <c r="E110" i="7"/>
  <c r="F110" i="7" s="1"/>
  <c r="E113" i="7"/>
  <c r="F113" i="7" s="1"/>
  <c r="E109" i="7"/>
  <c r="F109" i="7" s="1"/>
  <c r="E112" i="7"/>
  <c r="F112" i="7" s="1"/>
  <c r="E108" i="7"/>
  <c r="E111" i="7"/>
  <c r="F111" i="7" s="1"/>
  <c r="D105" i="6"/>
  <c r="G69" i="7"/>
  <c r="H69" i="7" s="1"/>
  <c r="G61" i="7"/>
  <c r="H61" i="7" s="1"/>
  <c r="D51" i="7"/>
  <c r="G66" i="7"/>
  <c r="H66" i="7" s="1"/>
  <c r="G64" i="7"/>
  <c r="H64" i="7" s="1"/>
  <c r="G70" i="7"/>
  <c r="H70" i="7" s="1"/>
  <c r="G62" i="7"/>
  <c r="H62" i="7" s="1"/>
  <c r="G60" i="7"/>
  <c r="G68" i="7"/>
  <c r="H68" i="7" s="1"/>
  <c r="G65" i="7"/>
  <c r="H65" i="7" s="1"/>
  <c r="E95" i="6"/>
  <c r="E120" i="7" l="1"/>
  <c r="E115" i="7"/>
  <c r="E116" i="7" s="1"/>
  <c r="F108" i="7"/>
  <c r="E119" i="7"/>
  <c r="E117" i="7"/>
  <c r="G68" i="6"/>
  <c r="H68" i="6" s="1"/>
  <c r="G60" i="6"/>
  <c r="G69" i="6"/>
  <c r="H69" i="6" s="1"/>
  <c r="D51" i="6"/>
  <c r="G66" i="6"/>
  <c r="H66" i="6" s="1"/>
  <c r="G62" i="6"/>
  <c r="H62" i="6" s="1"/>
  <c r="G70" i="6"/>
  <c r="H70" i="6" s="1"/>
  <c r="G64" i="6"/>
  <c r="H64" i="6" s="1"/>
  <c r="G65" i="6"/>
  <c r="H65" i="6" s="1"/>
  <c r="G61" i="6"/>
  <c r="H61" i="6" s="1"/>
  <c r="D104" i="6"/>
  <c r="E112" i="6"/>
  <c r="F112" i="6" s="1"/>
  <c r="E109" i="6"/>
  <c r="F109" i="6" s="1"/>
  <c r="E110" i="6"/>
  <c r="F110" i="6" s="1"/>
  <c r="E111" i="6"/>
  <c r="F111" i="6" s="1"/>
  <c r="E108" i="6"/>
  <c r="E113" i="6"/>
  <c r="F113" i="6" s="1"/>
  <c r="H60" i="7"/>
  <c r="G74" i="7"/>
  <c r="G72" i="7"/>
  <c r="G73" i="7" s="1"/>
  <c r="H60" i="6" l="1"/>
  <c r="G72" i="6"/>
  <c r="G73" i="6" s="1"/>
  <c r="G74" i="6"/>
  <c r="D125" i="7"/>
  <c r="F120" i="7"/>
  <c r="F125" i="7"/>
  <c r="F119" i="7"/>
  <c r="F117" i="7"/>
  <c r="F115" i="7"/>
  <c r="E115" i="6"/>
  <c r="E116" i="6" s="1"/>
  <c r="E119" i="6"/>
  <c r="E120" i="6"/>
  <c r="F108" i="6"/>
  <c r="E117" i="6"/>
  <c r="H74" i="7"/>
  <c r="H72" i="7"/>
  <c r="F125" i="6" l="1"/>
  <c r="F117" i="6"/>
  <c r="F115" i="6"/>
  <c r="F120" i="6"/>
  <c r="F119" i="6"/>
  <c r="D125" i="6"/>
  <c r="G124" i="7"/>
  <c r="F116" i="7"/>
  <c r="H72" i="6"/>
  <c r="H74" i="6"/>
  <c r="G76" i="7"/>
  <c r="H73" i="7"/>
  <c r="G124" i="6" l="1"/>
  <c r="F116" i="6"/>
  <c r="G76" i="6"/>
  <c r="H73" i="6"/>
</calcChain>
</file>

<file path=xl/sharedStrings.xml><?xml version="1.0" encoding="utf-8"?>
<sst xmlns="http://schemas.openxmlformats.org/spreadsheetml/2006/main" count="459" uniqueCount="138">
  <si>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</si>
  <si>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</si>
  <si>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</si>
  <si>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</si>
  <si>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</si>
  <si>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</si>
  <si>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</si>
  <si>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NDQB201708102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</si>
  <si>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</si>
  <si>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</si>
  <si>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</si>
  <si>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</si>
  <si>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2017-08-04 09:32:31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</si>
  <si>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</si>
  <si>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</si>
  <si>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</si>
  <si>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</si>
  <si>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</si>
  <si>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</si>
  <si>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</si>
  <si>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</si>
  <si>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</si>
  <si>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</si>
  <si>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</si>
  <si>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</si>
  <si>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</si>
  <si>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</si>
  <si>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</si>
  <si>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</si>
  <si>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</si>
  <si>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</si>
  <si>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</si>
  <si>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</si>
  <si>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</si>
  <si>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</si>
  <si>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</si>
  <si>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</si>
  <si>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</si>
  <si>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</si>
  <si>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</si>
  <si>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</si>
  <si>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</si>
  <si>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</si>
  <si>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</si>
  <si>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</si>
  <si>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</si>
  <si>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</si>
  <si>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</si>
  <si>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</si>
  <si>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</si>
  <si>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</si>
  <si>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</si>
  <si>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</si>
  <si>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</si>
  <si>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</si>
  <si>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</si>
  <si>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</si>
  <si>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</si>
  <si>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</si>
  <si>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</si>
  <si>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</si>
  <si>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</si>
  <si>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</si>
  <si>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</si>
  <si>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</si>
  <si>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</si>
  <si>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</si>
  <si>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</si>
  <si>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</si>
  <si>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</si>
  <si>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</si>
  <si>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</si>
  <si>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</si>
  <si>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</si>
  <si>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</si>
  <si>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</si>
  <si>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</si>
  <si>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</si>
  <si>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</si>
  <si>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</si>
  <si>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</si>
  <si>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</si>
  <si>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</si>
  <si>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</si>
  <si>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</si>
  <si>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</si>
  <si>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</si>
  <si>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</si>
  <si>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</si>
  <si>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</si>
  <si>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</si>
  <si>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</si>
  <si>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</si>
  <si>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</si>
  <si>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</si>
  <si>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</si>
  <si>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</si>
  <si>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</si>
  <si>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</si>
  <si>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</si>
  <si>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</si>
  <si>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</si>
  <si>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</si>
  <si>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</si>
  <si>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</si>
  <si>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</si>
  <si>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</si>
  <si>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</si>
  <si>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</si>
  <si>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</si>
  <si>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</si>
  <si>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</si>
  <si>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</si>
  <si>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</si>
  <si>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</si>
  <si>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</si>
  <si>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</si>
  <si>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</si>
  <si>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</si>
  <si>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</si>
  <si>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</si>
  <si>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</si>
  <si>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</si>
  <si>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</si>
  <si>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</si>
  <si>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</si>
  <si>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</si>
  <si>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</si>
  <si>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</si>
  <si>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</si>
  <si>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</si>
  <si>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</si>
  <si>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2017-08-04 09:30:32</t>
  </si>
  <si>
    <t>Resolution</t>
  </si>
  <si>
    <r>
      <t xml:space="preserve">The Resolution should not be less than </t>
    </r>
    <r>
      <rPr>
        <b/>
        <sz val="12"/>
        <color rgb="FF000000"/>
        <rFont val="Book Antiqua"/>
        <family val="1"/>
      </rPr>
      <t>5.0</t>
    </r>
  </si>
  <si>
    <t>S12-6</t>
  </si>
  <si>
    <t>Trimethoprim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</si>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</sst>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2" borderId="0"/>
  </cellStyleXfs>
  <cellXfs count="32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57" xfId="1" applyFont="1" applyFill="1" applyBorder="1"/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26" xfId="1" applyNumberFormat="1" applyFont="1" applyFill="1" applyBorder="1" applyAlignment="1" applyProtection="1">
      <alignment horizontal="center"/>
      <protection locked="0"/>
    </xf>
    <xf numFmtId="2" fontId="7" fillId="3" borderId="31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3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58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2" fillId="2" borderId="59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76" fontId="2" fillId="9" borderId="57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6" fillId="2" borderId="6" xfId="1" applyFont="1" applyFill="1" applyBorder="1"/>
    <xf numFmtId="0" fontId="6" fillId="2" borderId="8" xfId="1" applyFont="1" applyFill="1" applyBorder="1"/>
    <xf numFmtId="0" fontId="1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3" fillId="2" borderId="0" xfId="1" applyFont="1" applyFill="1" applyAlignment="1">
      <alignment horizontal="center"/>
    </xf>
    <xf numFmtId="0" fontId="6" fillId="2" borderId="0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6" fontId="6" fillId="8" borderId="58" xfId="0" applyNumberFormat="1" applyFont="1" applyFill="1" applyBorder="1" applyAlignment="1">
      <alignment horizontal="center"/>
    </xf>
    <xf numFmtId="176" fontId="6" fillId="9" borderId="57" xfId="1" applyNumberFormat="1" applyFont="1" applyFill="1" applyBorder="1" applyAlignment="1">
      <alignment horizontal="center"/>
    </xf>
    <xf numFmtId="0" fontId="26" fillId="3" borderId="3" xfId="0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 applyProtection="1">
      <alignment horizontal="center"/>
      <protection locked="0"/>
    </xf>
    <xf numFmtId="176" fontId="5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workbookViewId="0">
      <selection activeCell="E55" sqref="E55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9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64" t="s">
        <v>0</v>
      </c>
      <c r="B15" s="264"/>
      <c r="C15" s="264"/>
      <c r="D15" s="264"/>
      <c r="E15" s="264"/>
    </row>
    <row r="16" spans="1:6" ht="16.5" customHeight="1" x14ac:dyDescent="0.3">
      <c r="A16" s="51" t="s">
        <v>1</v>
      </c>
      <c r="B16" s="52" t="s">
        <v>2</v>
      </c>
    </row>
    <row r="17" spans="1:6" ht="16.5" customHeight="1" x14ac:dyDescent="0.3">
      <c r="A17" s="53" t="s">
        <v>3</v>
      </c>
      <c r="B17" s="53" t="s">
        <v>5</v>
      </c>
      <c r="D17" s="54"/>
      <c r="E17" s="55"/>
    </row>
    <row r="18" spans="1:6" ht="16.5" customHeight="1" x14ac:dyDescent="0.3">
      <c r="A18" s="56" t="s">
        <v>4</v>
      </c>
      <c r="B18" s="49" t="s">
        <v>131</v>
      </c>
      <c r="C18" s="55"/>
      <c r="D18" s="55"/>
      <c r="E18" s="55"/>
    </row>
    <row r="19" spans="1:6" ht="16.5" customHeight="1" x14ac:dyDescent="0.3">
      <c r="A19" s="56" t="s">
        <v>6</v>
      </c>
      <c r="B19" s="57">
        <v>99.02</v>
      </c>
      <c r="C19" s="55"/>
      <c r="D19" s="55"/>
      <c r="E19" s="55"/>
    </row>
    <row r="20" spans="1:6" ht="16.5" customHeight="1" x14ac:dyDescent="0.3">
      <c r="A20" s="53" t="s">
        <v>8</v>
      </c>
      <c r="B20" s="57">
        <v>18.91</v>
      </c>
      <c r="C20" s="55"/>
      <c r="D20" s="55"/>
      <c r="E20" s="55"/>
    </row>
    <row r="21" spans="1:6" ht="16.5" customHeight="1" x14ac:dyDescent="0.3">
      <c r="A21" s="53" t="s">
        <v>10</v>
      </c>
      <c r="B21" s="58">
        <f>B20/100</f>
        <v>0.18909999999999999</v>
      </c>
      <c r="C21" s="55"/>
      <c r="D21" s="55"/>
      <c r="E21" s="55"/>
    </row>
    <row r="22" spans="1:6" ht="15.75" customHeight="1" x14ac:dyDescent="0.25">
      <c r="A22" s="55"/>
      <c r="B22" s="55" t="s">
        <v>132</v>
      </c>
      <c r="C22" s="55"/>
      <c r="D22" s="55"/>
      <c r="E22" s="55"/>
    </row>
    <row r="23" spans="1:6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60" t="s">
        <v>17</v>
      </c>
      <c r="F23" s="61" t="s">
        <v>133</v>
      </c>
    </row>
    <row r="24" spans="1:6" ht="16.5" customHeight="1" x14ac:dyDescent="0.3">
      <c r="A24" s="62">
        <v>1</v>
      </c>
      <c r="B24" s="63">
        <v>45357508</v>
      </c>
      <c r="C24" s="63">
        <v>9597.1</v>
      </c>
      <c r="D24" s="64">
        <v>1.1000000000000001</v>
      </c>
      <c r="E24" s="65">
        <v>10.8</v>
      </c>
      <c r="F24" s="317">
        <v>14</v>
      </c>
    </row>
    <row r="25" spans="1:6" ht="16.5" customHeight="1" x14ac:dyDescent="0.3">
      <c r="A25" s="62">
        <v>2</v>
      </c>
      <c r="B25" s="63">
        <v>45512050</v>
      </c>
      <c r="C25" s="63">
        <v>9680.9</v>
      </c>
      <c r="D25" s="64">
        <v>1</v>
      </c>
      <c r="E25" s="66">
        <v>10.8</v>
      </c>
      <c r="F25" s="317">
        <v>14.1</v>
      </c>
    </row>
    <row r="26" spans="1:6" ht="16.5" customHeight="1" x14ac:dyDescent="0.3">
      <c r="A26" s="62">
        <v>3</v>
      </c>
      <c r="B26" s="63">
        <v>45526906</v>
      </c>
      <c r="C26" s="63">
        <v>9756.7000000000007</v>
      </c>
      <c r="D26" s="64">
        <v>1</v>
      </c>
      <c r="E26" s="66">
        <v>10.8</v>
      </c>
      <c r="F26" s="317">
        <v>14.2</v>
      </c>
    </row>
    <row r="27" spans="1:6" ht="16.5" customHeight="1" x14ac:dyDescent="0.3">
      <c r="A27" s="62">
        <v>4</v>
      </c>
      <c r="B27" s="63">
        <v>45578353</v>
      </c>
      <c r="C27" s="63">
        <v>9793.2000000000007</v>
      </c>
      <c r="D27" s="64">
        <v>1.1000000000000001</v>
      </c>
      <c r="E27" s="66">
        <v>10.8</v>
      </c>
      <c r="F27" s="317">
        <v>14.2</v>
      </c>
    </row>
    <row r="28" spans="1:6" ht="16.5" customHeight="1" x14ac:dyDescent="0.3">
      <c r="A28" s="62">
        <v>5</v>
      </c>
      <c r="B28" s="63">
        <v>45538907</v>
      </c>
      <c r="C28" s="63">
        <v>9839.9</v>
      </c>
      <c r="D28" s="64">
        <v>1.1000000000000001</v>
      </c>
      <c r="E28" s="66">
        <v>10.8</v>
      </c>
      <c r="F28" s="317">
        <v>14.3</v>
      </c>
    </row>
    <row r="29" spans="1:6" ht="16.5" customHeight="1" x14ac:dyDescent="0.3">
      <c r="A29" s="62">
        <v>6</v>
      </c>
      <c r="B29" s="67">
        <v>45645405</v>
      </c>
      <c r="C29" s="67">
        <v>9874.2000000000007</v>
      </c>
      <c r="D29" s="68">
        <v>1.1000000000000001</v>
      </c>
      <c r="E29" s="69">
        <v>10.8</v>
      </c>
      <c r="F29" s="317">
        <v>14.3</v>
      </c>
    </row>
    <row r="30" spans="1:6" ht="16.5" customHeight="1" x14ac:dyDescent="0.3">
      <c r="A30" s="70" t="s">
        <v>18</v>
      </c>
      <c r="B30" s="71">
        <f>AVERAGE(B24:B29)</f>
        <v>45526521.5</v>
      </c>
      <c r="C30" s="72">
        <f>AVERAGE(C24:C29)</f>
        <v>9757</v>
      </c>
      <c r="D30" s="73">
        <f>AVERAGE(D24:D29)</f>
        <v>1.0666666666666667</v>
      </c>
      <c r="E30" s="74">
        <f>AVERAGE(E24:E29)</f>
        <v>10.799999999999999</v>
      </c>
      <c r="F30" s="318">
        <f>AVERAGE(F24:F29)</f>
        <v>14.183333333333332</v>
      </c>
    </row>
    <row r="31" spans="1:6" ht="16.5" customHeight="1" x14ac:dyDescent="0.3">
      <c r="A31" s="75" t="s">
        <v>19</v>
      </c>
      <c r="B31" s="76">
        <f>(STDEV(B24:B29)/B30)</f>
        <v>2.1010584622795244E-3</v>
      </c>
      <c r="C31" s="77"/>
      <c r="D31" s="77"/>
      <c r="E31" s="78"/>
      <c r="F31" s="79"/>
    </row>
    <row r="32" spans="1:6" s="49" customFormat="1" ht="16.5" customHeight="1" x14ac:dyDescent="0.3">
      <c r="A32" s="80" t="s">
        <v>20</v>
      </c>
      <c r="B32" s="81">
        <f>COUNT(B24:B29)</f>
        <v>6</v>
      </c>
      <c r="C32" s="82"/>
      <c r="D32" s="83"/>
      <c r="E32" s="83"/>
      <c r="F32" s="84"/>
    </row>
    <row r="33" spans="1:6" s="49" customFormat="1" ht="15.75" customHeight="1" x14ac:dyDescent="0.25">
      <c r="A33" s="55"/>
      <c r="B33" s="55"/>
      <c r="C33" s="55"/>
      <c r="D33" s="55"/>
      <c r="E33" s="55"/>
    </row>
    <row r="34" spans="1:6" s="49" customFormat="1" ht="16.5" customHeight="1" x14ac:dyDescent="0.3">
      <c r="A34" s="56" t="s">
        <v>21</v>
      </c>
      <c r="B34" s="85" t="s">
        <v>22</v>
      </c>
      <c r="C34" s="86"/>
      <c r="D34" s="86"/>
      <c r="E34" s="86"/>
    </row>
    <row r="35" spans="1:6" ht="16.5" customHeight="1" x14ac:dyDescent="0.3">
      <c r="A35" s="56"/>
      <c r="B35" s="85" t="s">
        <v>23</v>
      </c>
      <c r="C35" s="86"/>
      <c r="D35" s="86"/>
      <c r="E35" s="86"/>
    </row>
    <row r="36" spans="1:6" ht="16.5" customHeight="1" x14ac:dyDescent="0.3">
      <c r="A36" s="56"/>
      <c r="B36" s="85" t="s">
        <v>24</v>
      </c>
      <c r="C36" s="86"/>
      <c r="D36" s="86"/>
      <c r="E36" s="86"/>
    </row>
    <row r="37" spans="1:6" ht="15.75" customHeight="1" x14ac:dyDescent="0.3">
      <c r="A37" s="55"/>
      <c r="B37" s="265" t="s">
        <v>134</v>
      </c>
      <c r="C37" s="265"/>
      <c r="D37" s="265"/>
      <c r="E37" s="55"/>
    </row>
    <row r="38" spans="1:6" ht="16.5" customHeight="1" x14ac:dyDescent="0.3">
      <c r="A38" s="51" t="s">
        <v>1</v>
      </c>
      <c r="B38" s="52" t="s">
        <v>25</v>
      </c>
    </row>
    <row r="39" spans="1:6" ht="16.5" customHeight="1" x14ac:dyDescent="0.3">
      <c r="A39" s="56" t="s">
        <v>4</v>
      </c>
      <c r="B39" s="53" t="s">
        <v>131</v>
      </c>
      <c r="C39" s="55"/>
      <c r="D39" s="55"/>
      <c r="E39" s="55"/>
    </row>
    <row r="40" spans="1:6" ht="16.5" customHeight="1" x14ac:dyDescent="0.3">
      <c r="A40" s="56" t="s">
        <v>6</v>
      </c>
      <c r="B40" s="57">
        <v>99.02</v>
      </c>
      <c r="C40" s="55"/>
      <c r="D40" s="55"/>
      <c r="E40" s="55"/>
    </row>
    <row r="41" spans="1:6" ht="16.5" customHeight="1" x14ac:dyDescent="0.3">
      <c r="A41" s="53" t="s">
        <v>8</v>
      </c>
      <c r="B41" s="57">
        <v>18.91</v>
      </c>
      <c r="C41" s="55"/>
      <c r="D41" s="55"/>
      <c r="E41" s="55"/>
    </row>
    <row r="42" spans="1:6" ht="16.5" customHeight="1" x14ac:dyDescent="0.3">
      <c r="A42" s="53" t="s">
        <v>10</v>
      </c>
      <c r="B42" s="58">
        <v>0.18909999999999999</v>
      </c>
      <c r="C42" s="55"/>
      <c r="D42" s="55"/>
      <c r="E42" s="55"/>
    </row>
    <row r="43" spans="1:6" ht="15.75" customHeight="1" x14ac:dyDescent="0.25">
      <c r="A43" s="55"/>
      <c r="B43" s="55"/>
      <c r="C43" s="55"/>
      <c r="D43" s="55"/>
      <c r="E43" s="55"/>
    </row>
    <row r="44" spans="1:6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60" t="s">
        <v>17</v>
      </c>
      <c r="F44" s="61" t="s">
        <v>133</v>
      </c>
    </row>
    <row r="45" spans="1:6" ht="16.5" customHeight="1" x14ac:dyDescent="0.3">
      <c r="A45" s="62">
        <v>1</v>
      </c>
      <c r="B45" s="63">
        <v>45357508</v>
      </c>
      <c r="C45" s="63">
        <v>9597.1</v>
      </c>
      <c r="D45" s="64">
        <v>1.1000000000000001</v>
      </c>
      <c r="E45" s="65">
        <v>10.8</v>
      </c>
      <c r="F45" s="317">
        <v>14</v>
      </c>
    </row>
    <row r="46" spans="1:6" ht="16.5" customHeight="1" x14ac:dyDescent="0.3">
      <c r="A46" s="62">
        <v>2</v>
      </c>
      <c r="B46" s="63">
        <v>45512050</v>
      </c>
      <c r="C46" s="63">
        <v>9680.9</v>
      </c>
      <c r="D46" s="64">
        <v>1</v>
      </c>
      <c r="E46" s="66">
        <v>10.8</v>
      </c>
      <c r="F46" s="317">
        <v>14.1</v>
      </c>
    </row>
    <row r="47" spans="1:6" ht="16.5" customHeight="1" x14ac:dyDescent="0.3">
      <c r="A47" s="62">
        <v>3</v>
      </c>
      <c r="B47" s="63">
        <v>45526906</v>
      </c>
      <c r="C47" s="63">
        <v>9756.7000000000007</v>
      </c>
      <c r="D47" s="64">
        <v>1</v>
      </c>
      <c r="E47" s="66">
        <v>10.8</v>
      </c>
      <c r="F47" s="317">
        <v>14.2</v>
      </c>
    </row>
    <row r="48" spans="1:6" ht="16.5" customHeight="1" x14ac:dyDescent="0.3">
      <c r="A48" s="62">
        <v>4</v>
      </c>
      <c r="B48" s="63">
        <v>45578353</v>
      </c>
      <c r="C48" s="63">
        <v>9793.2000000000007</v>
      </c>
      <c r="D48" s="64">
        <v>1.1000000000000001</v>
      </c>
      <c r="E48" s="66">
        <v>10.8</v>
      </c>
      <c r="F48" s="317">
        <v>14.2</v>
      </c>
    </row>
    <row r="49" spans="1:7" ht="16.5" customHeight="1" x14ac:dyDescent="0.3">
      <c r="A49" s="62">
        <v>5</v>
      </c>
      <c r="B49" s="63">
        <v>45538907</v>
      </c>
      <c r="C49" s="63">
        <v>9839.9</v>
      </c>
      <c r="D49" s="64">
        <v>1.1000000000000001</v>
      </c>
      <c r="E49" s="66">
        <v>10.8</v>
      </c>
      <c r="F49" s="317">
        <v>14.3</v>
      </c>
    </row>
    <row r="50" spans="1:7" ht="16.5" customHeight="1" x14ac:dyDescent="0.3">
      <c r="A50" s="62">
        <v>6</v>
      </c>
      <c r="B50" s="67">
        <v>45645405</v>
      </c>
      <c r="C50" s="67">
        <v>9874.2000000000007</v>
      </c>
      <c r="D50" s="68">
        <v>1.1000000000000001</v>
      </c>
      <c r="E50" s="69">
        <v>10.8</v>
      </c>
      <c r="F50" s="317">
        <v>14.3</v>
      </c>
    </row>
    <row r="51" spans="1:7" ht="16.5" customHeight="1" x14ac:dyDescent="0.3">
      <c r="A51" s="70" t="s">
        <v>18</v>
      </c>
      <c r="B51" s="71">
        <f>AVERAGE(B45:B50)</f>
        <v>45526521.5</v>
      </c>
      <c r="C51" s="72">
        <f>AVERAGE(C45:C50)</f>
        <v>9757</v>
      </c>
      <c r="D51" s="73">
        <f>AVERAGE(D45:D50)</f>
        <v>1.0666666666666667</v>
      </c>
      <c r="E51" s="74">
        <f>AVERAGE(E45:E50)</f>
        <v>10.799999999999999</v>
      </c>
      <c r="F51" s="87">
        <f>AVERAGE(F45:F50)</f>
        <v>14.183333333333332</v>
      </c>
    </row>
    <row r="52" spans="1:7" ht="16.5" customHeight="1" x14ac:dyDescent="0.3">
      <c r="A52" s="75" t="s">
        <v>19</v>
      </c>
      <c r="B52" s="76">
        <f>(STDEV(B45:B50)/B51)</f>
        <v>2.1010584622795244E-3</v>
      </c>
      <c r="C52" s="77"/>
      <c r="D52" s="77"/>
      <c r="E52" s="78"/>
      <c r="F52" s="79"/>
    </row>
    <row r="53" spans="1:7" s="49" customFormat="1" ht="16.5" customHeight="1" x14ac:dyDescent="0.3">
      <c r="A53" s="80" t="s">
        <v>20</v>
      </c>
      <c r="B53" s="81">
        <f>COUNT(B45:B50)</f>
        <v>6</v>
      </c>
      <c r="C53" s="82"/>
      <c r="D53" s="83"/>
      <c r="E53" s="83"/>
      <c r="F53" s="84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5" t="s">
        <v>22</v>
      </c>
      <c r="C55" s="86"/>
      <c r="D55" s="86"/>
      <c r="E55" s="86"/>
    </row>
    <row r="56" spans="1:7" ht="16.5" customHeight="1" x14ac:dyDescent="0.3">
      <c r="A56" s="56"/>
      <c r="B56" s="85" t="s">
        <v>23</v>
      </c>
      <c r="C56" s="86"/>
      <c r="D56" s="86"/>
      <c r="E56" s="86"/>
    </row>
    <row r="57" spans="1:7" ht="16.5" customHeight="1" x14ac:dyDescent="0.3">
      <c r="A57" s="56"/>
      <c r="B57" s="85" t="s">
        <v>24</v>
      </c>
      <c r="C57" s="86"/>
      <c r="D57" s="86"/>
      <c r="E57" s="86"/>
    </row>
    <row r="58" spans="1:7" ht="14.25" customHeight="1" thickBot="1" x14ac:dyDescent="0.35">
      <c r="A58" s="88"/>
      <c r="B58" s="266" t="s">
        <v>134</v>
      </c>
      <c r="C58" s="266"/>
      <c r="D58" s="266"/>
      <c r="F58" s="89"/>
      <c r="G58" s="89"/>
    </row>
    <row r="59" spans="1:7" ht="15" customHeight="1" x14ac:dyDescent="0.3">
      <c r="B59" s="267" t="s">
        <v>26</v>
      </c>
      <c r="C59" s="267"/>
      <c r="E59" s="90" t="s">
        <v>27</v>
      </c>
      <c r="F59" s="91"/>
      <c r="G59" s="90" t="s">
        <v>28</v>
      </c>
    </row>
    <row r="60" spans="1:7" ht="15" customHeight="1" x14ac:dyDescent="0.3">
      <c r="A60" s="92" t="s">
        <v>29</v>
      </c>
      <c r="B60" s="93"/>
      <c r="C60" s="93"/>
      <c r="E60" s="93"/>
      <c r="G60" s="93"/>
    </row>
    <row r="61" spans="1:7" ht="15" customHeight="1" x14ac:dyDescent="0.3">
      <c r="A61" s="92" t="s">
        <v>30</v>
      </c>
      <c r="B61" s="94"/>
      <c r="C61" s="94"/>
      <c r="E61" s="94"/>
      <c r="G61" s="95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37:D37"/>
    <mergeCell ref="B58:D58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104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9"/>
  </cols>
  <sheetData>
    <row r="1" spans="1:9" ht="18.75" customHeight="1" x14ac:dyDescent="0.25">
      <c r="A1" s="300" t="s">
        <v>45</v>
      </c>
      <c r="B1" s="300"/>
      <c r="C1" s="300"/>
      <c r="D1" s="300"/>
      <c r="E1" s="300"/>
      <c r="F1" s="300"/>
      <c r="G1" s="300"/>
      <c r="H1" s="300"/>
      <c r="I1" s="300"/>
    </row>
    <row r="2" spans="1:9" ht="18.75" customHeight="1" x14ac:dyDescent="0.25">
      <c r="A2" s="300"/>
      <c r="B2" s="300"/>
      <c r="C2" s="300"/>
      <c r="D2" s="300"/>
      <c r="E2" s="300"/>
      <c r="F2" s="300"/>
      <c r="G2" s="300"/>
      <c r="H2" s="300"/>
      <c r="I2" s="300"/>
    </row>
    <row r="3" spans="1:9" ht="18.75" customHeight="1" x14ac:dyDescent="0.25">
      <c r="A3" s="300"/>
      <c r="B3" s="300"/>
      <c r="C3" s="300"/>
      <c r="D3" s="300"/>
      <c r="E3" s="300"/>
      <c r="F3" s="300"/>
      <c r="G3" s="300"/>
      <c r="H3" s="300"/>
      <c r="I3" s="300"/>
    </row>
    <row r="4" spans="1:9" ht="18.75" customHeight="1" x14ac:dyDescent="0.25">
      <c r="A4" s="300"/>
      <c r="B4" s="300"/>
      <c r="C4" s="300"/>
      <c r="D4" s="300"/>
      <c r="E4" s="300"/>
      <c r="F4" s="300"/>
      <c r="G4" s="300"/>
      <c r="H4" s="300"/>
      <c r="I4" s="300"/>
    </row>
    <row r="5" spans="1:9" ht="18.75" customHeight="1" x14ac:dyDescent="0.25">
      <c r="A5" s="300"/>
      <c r="B5" s="300"/>
      <c r="C5" s="300"/>
      <c r="D5" s="300"/>
      <c r="E5" s="300"/>
      <c r="F5" s="300"/>
      <c r="G5" s="300"/>
      <c r="H5" s="300"/>
      <c r="I5" s="300"/>
    </row>
    <row r="6" spans="1:9" ht="18.75" customHeight="1" x14ac:dyDescent="0.25">
      <c r="A6" s="300"/>
      <c r="B6" s="300"/>
      <c r="C6" s="300"/>
      <c r="D6" s="300"/>
      <c r="E6" s="300"/>
      <c r="F6" s="300"/>
      <c r="G6" s="300"/>
      <c r="H6" s="300"/>
      <c r="I6" s="300"/>
    </row>
    <row r="7" spans="1:9" ht="18.75" customHeight="1" x14ac:dyDescent="0.25">
      <c r="A7" s="300"/>
      <c r="B7" s="300"/>
      <c r="C7" s="300"/>
      <c r="D7" s="300"/>
      <c r="E7" s="300"/>
      <c r="F7" s="300"/>
      <c r="G7" s="300"/>
      <c r="H7" s="300"/>
      <c r="I7" s="300"/>
    </row>
    <row r="8" spans="1:9" x14ac:dyDescent="0.25">
      <c r="A8" s="301" t="s">
        <v>46</v>
      </c>
      <c r="B8" s="301"/>
      <c r="C8" s="301"/>
      <c r="D8" s="301"/>
      <c r="E8" s="301"/>
      <c r="F8" s="301"/>
      <c r="G8" s="301"/>
      <c r="H8" s="301"/>
      <c r="I8" s="301"/>
    </row>
    <row r="9" spans="1:9" x14ac:dyDescent="0.25">
      <c r="A9" s="301"/>
      <c r="B9" s="301"/>
      <c r="C9" s="301"/>
      <c r="D9" s="301"/>
      <c r="E9" s="301"/>
      <c r="F9" s="301"/>
      <c r="G9" s="301"/>
      <c r="H9" s="301"/>
      <c r="I9" s="301"/>
    </row>
    <row r="10" spans="1:9" x14ac:dyDescent="0.25">
      <c r="A10" s="301"/>
      <c r="B10" s="301"/>
      <c r="C10" s="301"/>
      <c r="D10" s="301"/>
      <c r="E10" s="301"/>
      <c r="F10" s="301"/>
      <c r="G10" s="301"/>
      <c r="H10" s="301"/>
      <c r="I10" s="301"/>
    </row>
    <row r="11" spans="1:9" x14ac:dyDescent="0.25">
      <c r="A11" s="301"/>
      <c r="B11" s="301"/>
      <c r="C11" s="301"/>
      <c r="D11" s="301"/>
      <c r="E11" s="301"/>
      <c r="F11" s="301"/>
      <c r="G11" s="301"/>
      <c r="H11" s="301"/>
      <c r="I11" s="301"/>
    </row>
    <row r="12" spans="1:9" x14ac:dyDescent="0.25">
      <c r="A12" s="301"/>
      <c r="B12" s="301"/>
      <c r="C12" s="301"/>
      <c r="D12" s="301"/>
      <c r="E12" s="301"/>
      <c r="F12" s="301"/>
      <c r="G12" s="301"/>
      <c r="H12" s="301"/>
      <c r="I12" s="301"/>
    </row>
    <row r="13" spans="1:9" x14ac:dyDescent="0.25">
      <c r="A13" s="301"/>
      <c r="B13" s="301"/>
      <c r="C13" s="301"/>
      <c r="D13" s="301"/>
      <c r="E13" s="301"/>
      <c r="F13" s="301"/>
      <c r="G13" s="301"/>
      <c r="H13" s="301"/>
      <c r="I13" s="301"/>
    </row>
    <row r="14" spans="1:9" x14ac:dyDescent="0.25">
      <c r="A14" s="301"/>
      <c r="B14" s="301"/>
      <c r="C14" s="301"/>
      <c r="D14" s="301"/>
      <c r="E14" s="301"/>
      <c r="F14" s="301"/>
      <c r="G14" s="301"/>
      <c r="H14" s="301"/>
      <c r="I14" s="301"/>
    </row>
    <row r="15" spans="1:9" ht="19.5" customHeight="1" thickBot="1" x14ac:dyDescent="0.35">
      <c r="A15" s="96"/>
    </row>
    <row r="16" spans="1:9" ht="19.5" customHeight="1" thickBot="1" x14ac:dyDescent="0.35">
      <c r="A16" s="302" t="s">
        <v>31</v>
      </c>
      <c r="B16" s="303"/>
      <c r="C16" s="303"/>
      <c r="D16" s="303"/>
      <c r="E16" s="303"/>
      <c r="F16" s="303"/>
      <c r="G16" s="303"/>
      <c r="H16" s="304"/>
    </row>
    <row r="17" spans="1:14" ht="20.25" customHeight="1" x14ac:dyDescent="0.25">
      <c r="A17" s="305" t="s">
        <v>47</v>
      </c>
      <c r="B17" s="305"/>
      <c r="C17" s="305"/>
      <c r="D17" s="305"/>
      <c r="E17" s="305"/>
      <c r="F17" s="305"/>
      <c r="G17" s="305"/>
      <c r="H17" s="305"/>
    </row>
    <row r="18" spans="1:14" ht="26.25" customHeight="1" x14ac:dyDescent="0.4">
      <c r="A18" s="97" t="s">
        <v>33</v>
      </c>
      <c r="B18" s="306" t="s">
        <v>5</v>
      </c>
      <c r="C18" s="306"/>
      <c r="D18" s="98"/>
      <c r="E18" s="99"/>
      <c r="F18" s="100"/>
      <c r="G18" s="100"/>
      <c r="H18" s="100"/>
    </row>
    <row r="19" spans="1:14" ht="26.25" customHeight="1" x14ac:dyDescent="0.4">
      <c r="A19" s="97" t="s">
        <v>34</v>
      </c>
      <c r="B19" s="101" t="s">
        <v>7</v>
      </c>
      <c r="C19" s="100">
        <v>1</v>
      </c>
      <c r="D19" s="100"/>
      <c r="E19" s="100"/>
      <c r="F19" s="100"/>
      <c r="G19" s="100"/>
      <c r="H19" s="100"/>
    </row>
    <row r="20" spans="1:14" ht="26.25" customHeight="1" x14ac:dyDescent="0.4">
      <c r="A20" s="97" t="s">
        <v>35</v>
      </c>
      <c r="B20" s="307" t="s">
        <v>9</v>
      </c>
      <c r="C20" s="307"/>
      <c r="D20" s="100"/>
      <c r="E20" s="100"/>
      <c r="F20" s="100"/>
      <c r="G20" s="100"/>
      <c r="H20" s="100"/>
    </row>
    <row r="21" spans="1:14" ht="26.25" customHeight="1" x14ac:dyDescent="0.4">
      <c r="A21" s="97" t="s">
        <v>36</v>
      </c>
      <c r="B21" s="307" t="s">
        <v>11</v>
      </c>
      <c r="C21" s="307"/>
      <c r="D21" s="307"/>
      <c r="E21" s="307"/>
      <c r="F21" s="307"/>
      <c r="G21" s="307"/>
      <c r="H21" s="307"/>
      <c r="I21" s="102"/>
    </row>
    <row r="22" spans="1:14" ht="26.25" customHeight="1" x14ac:dyDescent="0.4">
      <c r="A22" s="97" t="s">
        <v>37</v>
      </c>
      <c r="B22" s="103" t="s">
        <v>132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7" t="s">
        <v>38</v>
      </c>
      <c r="B23" s="103"/>
      <c r="C23" s="100"/>
      <c r="D23" s="100"/>
      <c r="E23" s="100"/>
      <c r="F23" s="100"/>
      <c r="G23" s="100"/>
      <c r="H23" s="100"/>
    </row>
    <row r="24" spans="1:14" ht="18.75" x14ac:dyDescent="0.3">
      <c r="A24" s="97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306" t="s">
        <v>131</v>
      </c>
      <c r="C26" s="306"/>
    </row>
    <row r="27" spans="1:14" ht="26.25" customHeight="1" x14ac:dyDescent="0.4">
      <c r="A27" s="107" t="s">
        <v>48</v>
      </c>
      <c r="B27" s="308" t="s">
        <v>135</v>
      </c>
      <c r="C27" s="308"/>
    </row>
    <row r="28" spans="1:14" ht="27" customHeight="1" thickBot="1" x14ac:dyDescent="0.45">
      <c r="A28" s="107" t="s">
        <v>6</v>
      </c>
      <c r="B28" s="108">
        <v>99.02</v>
      </c>
    </row>
    <row r="29" spans="1:14" s="59" customFormat="1" ht="27" customHeight="1" thickBot="1" x14ac:dyDescent="0.45">
      <c r="A29" s="107" t="s">
        <v>49</v>
      </c>
      <c r="B29" s="109">
        <v>0</v>
      </c>
      <c r="C29" s="280" t="s">
        <v>50</v>
      </c>
      <c r="D29" s="281"/>
      <c r="E29" s="281"/>
      <c r="F29" s="281"/>
      <c r="G29" s="282"/>
      <c r="I29" s="110"/>
      <c r="J29" s="110"/>
      <c r="K29" s="110"/>
      <c r="L29" s="110"/>
    </row>
    <row r="30" spans="1:14" s="59" customFormat="1" ht="19.5" customHeight="1" thickBot="1" x14ac:dyDescent="0.35">
      <c r="A30" s="107" t="s">
        <v>51</v>
      </c>
      <c r="B30" s="111">
        <f>B28-B29</f>
        <v>99.02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59" customFormat="1" ht="27" customHeight="1" thickBot="1" x14ac:dyDescent="0.45">
      <c r="A31" s="107" t="s">
        <v>52</v>
      </c>
      <c r="B31" s="114">
        <v>1</v>
      </c>
      <c r="C31" s="283" t="s">
        <v>53</v>
      </c>
      <c r="D31" s="284"/>
      <c r="E31" s="284"/>
      <c r="F31" s="284"/>
      <c r="G31" s="284"/>
      <c r="H31" s="285"/>
      <c r="I31" s="110"/>
      <c r="J31" s="110"/>
      <c r="K31" s="110"/>
      <c r="L31" s="110"/>
    </row>
    <row r="32" spans="1:14" s="59" customFormat="1" ht="27" customHeight="1" thickBot="1" x14ac:dyDescent="0.45">
      <c r="A32" s="107" t="s">
        <v>54</v>
      </c>
      <c r="B32" s="114">
        <v>1</v>
      </c>
      <c r="C32" s="283" t="s">
        <v>55</v>
      </c>
      <c r="D32" s="284"/>
      <c r="E32" s="284"/>
      <c r="F32" s="284"/>
      <c r="G32" s="284"/>
      <c r="H32" s="285"/>
      <c r="I32" s="110"/>
      <c r="J32" s="110"/>
      <c r="K32" s="110"/>
      <c r="L32" s="115"/>
      <c r="M32" s="115"/>
      <c r="N32" s="116"/>
    </row>
    <row r="33" spans="1:14" s="59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59" customFormat="1" ht="18.75" x14ac:dyDescent="0.3">
      <c r="A34" s="107" t="s">
        <v>56</v>
      </c>
      <c r="B34" s="119">
        <f>B31/B32</f>
        <v>1</v>
      </c>
      <c r="C34" s="96" t="s">
        <v>57</v>
      </c>
      <c r="D34" s="96"/>
      <c r="E34" s="96"/>
      <c r="F34" s="96"/>
      <c r="G34" s="96"/>
      <c r="I34" s="110"/>
      <c r="J34" s="110"/>
      <c r="K34" s="110"/>
      <c r="L34" s="115"/>
      <c r="M34" s="115"/>
      <c r="N34" s="116"/>
    </row>
    <row r="35" spans="1:14" s="59" customFormat="1" ht="19.5" customHeight="1" thickBot="1" x14ac:dyDescent="0.35">
      <c r="A35" s="107"/>
      <c r="B35" s="111"/>
      <c r="G35" s="96"/>
      <c r="I35" s="110"/>
      <c r="J35" s="110"/>
      <c r="K35" s="110"/>
      <c r="L35" s="115"/>
      <c r="M35" s="115"/>
      <c r="N35" s="116"/>
    </row>
    <row r="36" spans="1:14" s="59" customFormat="1" ht="27" customHeight="1" thickBot="1" x14ac:dyDescent="0.45">
      <c r="A36" s="120" t="s">
        <v>58</v>
      </c>
      <c r="B36" s="121">
        <v>100</v>
      </c>
      <c r="C36" s="96"/>
      <c r="D36" s="286" t="s">
        <v>59</v>
      </c>
      <c r="E36" s="288"/>
      <c r="F36" s="286" t="s">
        <v>60</v>
      </c>
      <c r="G36" s="287"/>
      <c r="J36" s="110"/>
      <c r="K36" s="110"/>
      <c r="L36" s="115"/>
      <c r="M36" s="115"/>
      <c r="N36" s="116"/>
    </row>
    <row r="37" spans="1:14" s="59" customFormat="1" ht="27" customHeight="1" thickBot="1" x14ac:dyDescent="0.45">
      <c r="A37" s="122" t="s">
        <v>61</v>
      </c>
      <c r="B37" s="123">
        <v>1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59" customFormat="1" ht="26.25" customHeight="1" x14ac:dyDescent="0.4">
      <c r="A38" s="122" t="s">
        <v>66</v>
      </c>
      <c r="B38" s="123">
        <v>1</v>
      </c>
      <c r="C38" s="129">
        <v>1</v>
      </c>
      <c r="D38" s="130">
        <v>45500008</v>
      </c>
      <c r="E38" s="131">
        <f>IF(ISBLANK(D38),"-",$D$48/$D$45*D38)</f>
        <v>38879171.779793106</v>
      </c>
      <c r="F38" s="130">
        <v>40051273</v>
      </c>
      <c r="G38" s="132">
        <f>IF(ISBLANK(F38),"-",$D$48/$F$45*F38)</f>
        <v>38567494.701952793</v>
      </c>
      <c r="I38" s="133"/>
      <c r="J38" s="110"/>
      <c r="K38" s="110"/>
      <c r="L38" s="115"/>
      <c r="M38" s="115"/>
      <c r="N38" s="116"/>
    </row>
    <row r="39" spans="1:14" s="59" customFormat="1" ht="26.25" customHeight="1" x14ac:dyDescent="0.4">
      <c r="A39" s="122" t="s">
        <v>67</v>
      </c>
      <c r="B39" s="123">
        <v>1</v>
      </c>
      <c r="C39" s="134">
        <v>2</v>
      </c>
      <c r="D39" s="135">
        <v>45743910</v>
      </c>
      <c r="E39" s="136">
        <f>IF(ISBLANK(D39),"-",$D$48/$D$45*D39)</f>
        <v>39087582.902609505</v>
      </c>
      <c r="F39" s="135">
        <v>40171593</v>
      </c>
      <c r="G39" s="137">
        <f>IF(ISBLANK(F39),"-",$D$48/$F$45*F39)</f>
        <v>38683357.210556179</v>
      </c>
      <c r="I39" s="268">
        <f>ABS((F43/D43*D42)-F42)/D42</f>
        <v>8.4322008806976077E-3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68</v>
      </c>
      <c r="B40" s="123">
        <v>1</v>
      </c>
      <c r="C40" s="134">
        <v>3</v>
      </c>
      <c r="D40" s="135">
        <v>45804787</v>
      </c>
      <c r="E40" s="136">
        <f>IF(ISBLANK(D40),"-",$D$48/$D$45*D40)</f>
        <v>39139601.516330153</v>
      </c>
      <c r="F40" s="135">
        <v>40233213</v>
      </c>
      <c r="G40" s="137">
        <f>IF(ISBLANK(F40),"-",$D$48/$F$45*F40)</f>
        <v>38742694.376282081</v>
      </c>
      <c r="I40" s="268"/>
      <c r="L40" s="115"/>
      <c r="M40" s="115"/>
      <c r="N40" s="96"/>
    </row>
    <row r="41" spans="1:14" ht="27" customHeight="1" thickBot="1" x14ac:dyDescent="0.45">
      <c r="A41" s="122" t="s">
        <v>69</v>
      </c>
      <c r="B41" s="123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5"/>
      <c r="M41" s="115"/>
      <c r="N41" s="96"/>
    </row>
    <row r="42" spans="1:14" ht="27" customHeight="1" thickBot="1" x14ac:dyDescent="0.45">
      <c r="A42" s="122" t="s">
        <v>70</v>
      </c>
      <c r="B42" s="123">
        <v>1</v>
      </c>
      <c r="C42" s="143" t="s">
        <v>71</v>
      </c>
      <c r="D42" s="144">
        <f>AVERAGE(D38:D41)</f>
        <v>45682901.666666664</v>
      </c>
      <c r="E42" s="145">
        <f>AVERAGE(E38:E41)</f>
        <v>39035452.066244252</v>
      </c>
      <c r="F42" s="144">
        <f>AVERAGE(F38:F41)</f>
        <v>40152026.333333336</v>
      </c>
      <c r="G42" s="146">
        <f>AVERAGE(G38:G41)</f>
        <v>38664515.429597013</v>
      </c>
      <c r="H42" s="147"/>
    </row>
    <row r="43" spans="1:14" ht="26.25" customHeight="1" x14ac:dyDescent="0.4">
      <c r="A43" s="122" t="s">
        <v>72</v>
      </c>
      <c r="B43" s="123">
        <v>1</v>
      </c>
      <c r="C43" s="148" t="s">
        <v>73</v>
      </c>
      <c r="D43" s="149">
        <v>18.91</v>
      </c>
      <c r="E43" s="96"/>
      <c r="F43" s="149">
        <v>16.78</v>
      </c>
      <c r="H43" s="147"/>
    </row>
    <row r="44" spans="1:14" ht="26.25" customHeight="1" x14ac:dyDescent="0.4">
      <c r="A44" s="122" t="s">
        <v>74</v>
      </c>
      <c r="B44" s="123">
        <v>1</v>
      </c>
      <c r="C44" s="150" t="s">
        <v>75</v>
      </c>
      <c r="D44" s="151">
        <f>D43*$B$34</f>
        <v>18.91</v>
      </c>
      <c r="E44" s="152"/>
      <c r="F44" s="151">
        <f>F43*$B$34</f>
        <v>16.78</v>
      </c>
      <c r="H44" s="147"/>
    </row>
    <row r="45" spans="1:14" ht="19.5" customHeight="1" thickBot="1" x14ac:dyDescent="0.35">
      <c r="A45" s="122" t="s">
        <v>76</v>
      </c>
      <c r="B45" s="134">
        <f>(B44/B43)*(B42/B41)*(B40/B39)*(B38/B37)*B36</f>
        <v>100</v>
      </c>
      <c r="C45" s="150" t="s">
        <v>77</v>
      </c>
      <c r="D45" s="153">
        <f>D44*$B$30/100</f>
        <v>18.724682000000001</v>
      </c>
      <c r="E45" s="154"/>
      <c r="F45" s="153">
        <f>F44*$B$30/100</f>
        <v>16.615556000000002</v>
      </c>
      <c r="H45" s="147"/>
    </row>
    <row r="46" spans="1:14" ht="19.5" customHeight="1" thickBot="1" x14ac:dyDescent="0.35">
      <c r="A46" s="269" t="s">
        <v>78</v>
      </c>
      <c r="B46" s="273"/>
      <c r="C46" s="150" t="s">
        <v>79</v>
      </c>
      <c r="D46" s="155">
        <f>D45/$B$45</f>
        <v>0.18724682000000001</v>
      </c>
      <c r="E46" s="156"/>
      <c r="F46" s="157">
        <f>F45/$B$45</f>
        <v>0.16615556000000001</v>
      </c>
      <c r="H46" s="147"/>
    </row>
    <row r="47" spans="1:14" ht="27" customHeight="1" thickBot="1" x14ac:dyDescent="0.45">
      <c r="A47" s="271"/>
      <c r="B47" s="274"/>
      <c r="C47" s="158" t="s">
        <v>80</v>
      </c>
      <c r="D47" s="159">
        <v>0.16</v>
      </c>
      <c r="E47" s="160"/>
      <c r="F47" s="156"/>
      <c r="H47" s="147"/>
    </row>
    <row r="48" spans="1:14" ht="18.75" x14ac:dyDescent="0.3">
      <c r="C48" s="161" t="s">
        <v>81</v>
      </c>
      <c r="D48" s="153">
        <f>D47*$B$45</f>
        <v>16</v>
      </c>
      <c r="F48" s="162"/>
      <c r="H48" s="147"/>
    </row>
    <row r="49" spans="1:12" ht="19.5" customHeight="1" thickBot="1" x14ac:dyDescent="0.35">
      <c r="C49" s="163" t="s">
        <v>82</v>
      </c>
      <c r="D49" s="164">
        <f>D48/B34</f>
        <v>16</v>
      </c>
      <c r="F49" s="162"/>
      <c r="H49" s="147"/>
    </row>
    <row r="50" spans="1:12" ht="18.75" x14ac:dyDescent="0.3">
      <c r="C50" s="120" t="s">
        <v>83</v>
      </c>
      <c r="D50" s="165">
        <f>AVERAGE(E38:E41,G38:G41)</f>
        <v>38849983.747920632</v>
      </c>
      <c r="F50" s="166"/>
      <c r="H50" s="147"/>
    </row>
    <row r="51" spans="1:12" ht="18.75" x14ac:dyDescent="0.3">
      <c r="C51" s="122" t="s">
        <v>84</v>
      </c>
      <c r="D51" s="167">
        <f>STDEV(E38:E41,G38:G41)/D50</f>
        <v>5.8725567477386489E-3</v>
      </c>
      <c r="F51" s="166"/>
      <c r="H51" s="147"/>
    </row>
    <row r="52" spans="1:12" ht="19.5" customHeight="1" thickBot="1" x14ac:dyDescent="0.35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85</v>
      </c>
    </row>
    <row r="55" spans="1:12" ht="18.75" x14ac:dyDescent="0.3">
      <c r="A55" s="96" t="s">
        <v>86</v>
      </c>
      <c r="B55" s="172" t="str">
        <f>B21</f>
        <v>Each tablet contains: Sulphamethoxazole B.P. 800 mg and Trimethoprim B.P. 160 mg.</v>
      </c>
    </row>
    <row r="56" spans="1:12" ht="26.25" customHeight="1" x14ac:dyDescent="0.4">
      <c r="A56" s="172" t="s">
        <v>87</v>
      </c>
      <c r="B56" s="173">
        <v>800</v>
      </c>
      <c r="C56" s="96" t="str">
        <f>B20</f>
        <v>Sulfamethoxazole &amp; Trimethoprim</v>
      </c>
      <c r="H56" s="152"/>
    </row>
    <row r="57" spans="1:12" ht="18.75" x14ac:dyDescent="0.3">
      <c r="A57" s="172" t="s">
        <v>88</v>
      </c>
      <c r="B57" s="174">
        <f>Uniformity!C46</f>
        <v>1043.8865000000001</v>
      </c>
      <c r="H57" s="152"/>
    </row>
    <row r="58" spans="1:12" ht="19.5" customHeight="1" thickBot="1" x14ac:dyDescent="0.35">
      <c r="H58" s="152"/>
    </row>
    <row r="59" spans="1:12" s="59" customFormat="1" ht="27" customHeight="1" thickBot="1" x14ac:dyDescent="0.45">
      <c r="A59" s="120" t="s">
        <v>89</v>
      </c>
      <c r="B59" s="121">
        <v>100</v>
      </c>
      <c r="C59" s="96"/>
      <c r="D59" s="175" t="s">
        <v>90</v>
      </c>
      <c r="E59" s="176" t="s">
        <v>62</v>
      </c>
      <c r="F59" s="176" t="s">
        <v>63</v>
      </c>
      <c r="G59" s="176" t="s">
        <v>91</v>
      </c>
      <c r="H59" s="124" t="s">
        <v>92</v>
      </c>
      <c r="L59" s="110"/>
    </row>
    <row r="60" spans="1:12" s="59" customFormat="1" ht="26.25" customHeight="1" x14ac:dyDescent="0.4">
      <c r="A60" s="122" t="s">
        <v>93</v>
      </c>
      <c r="B60" s="123">
        <v>2</v>
      </c>
      <c r="C60" s="289" t="s">
        <v>94</v>
      </c>
      <c r="D60" s="292">
        <v>1041.1400000000001</v>
      </c>
      <c r="E60" s="177">
        <v>1</v>
      </c>
      <c r="F60" s="178">
        <v>37393515</v>
      </c>
      <c r="G60" s="179">
        <f>IF(ISBLANK(F60),"-",(F60/$D$50*$D$47*$B$68)*($B$57/$D$60))</f>
        <v>772.03961483465775</v>
      </c>
      <c r="H60" s="180">
        <f t="shared" ref="H60:H71" si="0">IF(ISBLANK(F60),"-",(G60/$B$56)*100)</f>
        <v>96.504951854332219</v>
      </c>
      <c r="L60" s="110"/>
    </row>
    <row r="61" spans="1:12" s="59" customFormat="1" ht="26.25" customHeight="1" x14ac:dyDescent="0.4">
      <c r="A61" s="122" t="s">
        <v>95</v>
      </c>
      <c r="B61" s="123">
        <v>100</v>
      </c>
      <c r="C61" s="290"/>
      <c r="D61" s="293"/>
      <c r="E61" s="181">
        <v>2</v>
      </c>
      <c r="F61" s="135">
        <v>37349228</v>
      </c>
      <c r="G61" s="182">
        <f>IF(ISBLANK(F61),"-",(F61/$D$50*$D$47*$B$68)*($B$57/$D$60))</f>
        <v>771.12524991276734</v>
      </c>
      <c r="H61" s="183">
        <f t="shared" si="0"/>
        <v>96.390656239095918</v>
      </c>
      <c r="L61" s="110"/>
    </row>
    <row r="62" spans="1:12" s="59" customFormat="1" ht="26.25" customHeight="1" x14ac:dyDescent="0.4">
      <c r="A62" s="122" t="s">
        <v>96</v>
      </c>
      <c r="B62" s="123">
        <v>1</v>
      </c>
      <c r="C62" s="290"/>
      <c r="D62" s="293"/>
      <c r="E62" s="181">
        <v>3</v>
      </c>
      <c r="F62" s="184">
        <v>37475039</v>
      </c>
      <c r="G62" s="182">
        <f>IF(ISBLANK(F62),"-",(F62/$D$50*$D$47*$B$68)*($B$57/$D$60))</f>
        <v>773.72278790784378</v>
      </c>
      <c r="H62" s="183">
        <f t="shared" si="0"/>
        <v>96.715348488480473</v>
      </c>
      <c r="L62" s="110"/>
    </row>
    <row r="63" spans="1:12" ht="27" customHeight="1" thickBot="1" x14ac:dyDescent="0.45">
      <c r="A63" s="122" t="s">
        <v>97</v>
      </c>
      <c r="B63" s="123">
        <v>1</v>
      </c>
      <c r="C63" s="291"/>
      <c r="D63" s="294"/>
      <c r="E63" s="185">
        <v>4</v>
      </c>
      <c r="F63" s="186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2" t="s">
        <v>98</v>
      </c>
      <c r="B64" s="123">
        <v>1</v>
      </c>
      <c r="C64" s="289" t="s">
        <v>99</v>
      </c>
      <c r="D64" s="292">
        <v>1042.5999999999999</v>
      </c>
      <c r="E64" s="177">
        <v>1</v>
      </c>
      <c r="F64" s="178">
        <v>37330891</v>
      </c>
      <c r="G64" s="179">
        <f>IF(ISBLANK(F64),"-",(F64/$D$50*$D$47*$B$68)*($B$57/$D$64))</f>
        <v>769.6673463322785</v>
      </c>
      <c r="H64" s="180">
        <f t="shared" si="0"/>
        <v>96.208418291534812</v>
      </c>
    </row>
    <row r="65" spans="1:8" ht="26.25" customHeight="1" x14ac:dyDescent="0.4">
      <c r="A65" s="122" t="s">
        <v>100</v>
      </c>
      <c r="B65" s="123">
        <v>1</v>
      </c>
      <c r="C65" s="290"/>
      <c r="D65" s="293"/>
      <c r="E65" s="181">
        <v>2</v>
      </c>
      <c r="F65" s="135">
        <v>37510846</v>
      </c>
      <c r="G65" s="182">
        <f>IF(ISBLANK(F65),"-",(F65/$D$50*$D$47*$B$68)*($B$57/$D$64))</f>
        <v>773.37755746303424</v>
      </c>
      <c r="H65" s="183">
        <f t="shared" si="0"/>
        <v>96.67219468287928</v>
      </c>
    </row>
    <row r="66" spans="1:8" ht="26.25" customHeight="1" x14ac:dyDescent="0.4">
      <c r="A66" s="122" t="s">
        <v>101</v>
      </c>
      <c r="B66" s="123">
        <v>1</v>
      </c>
      <c r="C66" s="290"/>
      <c r="D66" s="293"/>
      <c r="E66" s="181">
        <v>3</v>
      </c>
      <c r="F66" s="135">
        <v>37470564</v>
      </c>
      <c r="G66" s="182">
        <f>IF(ISBLANK(F66),"-",(F66/$D$50*$D$47*$B$68)*($B$57/$D$64))</f>
        <v>772.54704580862563</v>
      </c>
      <c r="H66" s="183">
        <f t="shared" si="0"/>
        <v>96.568380726078203</v>
      </c>
    </row>
    <row r="67" spans="1:8" ht="27" customHeight="1" thickBot="1" x14ac:dyDescent="0.45">
      <c r="A67" s="122" t="s">
        <v>102</v>
      </c>
      <c r="B67" s="123">
        <v>1</v>
      </c>
      <c r="C67" s="291"/>
      <c r="D67" s="294"/>
      <c r="E67" s="185">
        <v>4</v>
      </c>
      <c r="F67" s="186"/>
      <c r="G67" s="187" t="str">
        <f>IF(ISBLANK(F67),"-",(F67/$D$50*$D$47*$B$68)*($B$57/$D$64))</f>
        <v>-</v>
      </c>
      <c r="H67" s="188" t="str">
        <f t="shared" si="0"/>
        <v>-</v>
      </c>
    </row>
    <row r="68" spans="1:8" ht="26.25" customHeight="1" x14ac:dyDescent="0.4">
      <c r="A68" s="122" t="s">
        <v>103</v>
      </c>
      <c r="B68" s="189">
        <f>(B67/B66)*(B65/B64)*(B63/B62)*(B61/B60)*B59</f>
        <v>5000</v>
      </c>
      <c r="C68" s="289" t="s">
        <v>104</v>
      </c>
      <c r="D68" s="292">
        <v>1042.8399999999999</v>
      </c>
      <c r="E68" s="177">
        <v>1</v>
      </c>
      <c r="F68" s="178">
        <v>37387249</v>
      </c>
      <c r="G68" s="179">
        <f>IF(ISBLANK(F68),"-",(F68/$D$50*$D$47*$B$68)*($B$57/$D$68))</f>
        <v>770.65190467760613</v>
      </c>
      <c r="H68" s="183">
        <f t="shared" si="0"/>
        <v>96.331488084700766</v>
      </c>
    </row>
    <row r="69" spans="1:8" ht="27" customHeight="1" thickBot="1" x14ac:dyDescent="0.45">
      <c r="A69" s="168" t="s">
        <v>105</v>
      </c>
      <c r="B69" s="190">
        <f>(D47*B68)/B56*B57</f>
        <v>1043.8865000000001</v>
      </c>
      <c r="C69" s="290"/>
      <c r="D69" s="293"/>
      <c r="E69" s="181">
        <v>2</v>
      </c>
      <c r="F69" s="135">
        <v>37402045</v>
      </c>
      <c r="G69" s="182">
        <f>IF(ISBLANK(F69),"-",(F69/$D$50*$D$47*$B$68)*($B$57/$D$68))</f>
        <v>770.95689009072407</v>
      </c>
      <c r="H69" s="183">
        <f t="shared" si="0"/>
        <v>96.369611261340509</v>
      </c>
    </row>
    <row r="70" spans="1:8" ht="26.25" customHeight="1" x14ac:dyDescent="0.4">
      <c r="A70" s="296" t="s">
        <v>78</v>
      </c>
      <c r="B70" s="297"/>
      <c r="C70" s="290"/>
      <c r="D70" s="293"/>
      <c r="E70" s="181">
        <v>3</v>
      </c>
      <c r="F70" s="135">
        <v>37294572</v>
      </c>
      <c r="G70" s="182">
        <f>IF(ISBLANK(F70),"-",(F70/$D$50*$D$47*$B$68)*($B$57/$D$68))</f>
        <v>768.74158208153051</v>
      </c>
      <c r="H70" s="183">
        <f t="shared" si="0"/>
        <v>96.092697760191314</v>
      </c>
    </row>
    <row r="71" spans="1:8" ht="27" customHeight="1" thickBot="1" x14ac:dyDescent="0.45">
      <c r="A71" s="298"/>
      <c r="B71" s="299"/>
      <c r="C71" s="295"/>
      <c r="D71" s="294"/>
      <c r="E71" s="185">
        <v>4</v>
      </c>
      <c r="F71" s="186"/>
      <c r="G71" s="187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91" t="s">
        <v>71</v>
      </c>
      <c r="G72" s="192">
        <f>AVERAGE(G60:G71)</f>
        <v>771.4255532343409</v>
      </c>
      <c r="H72" s="193">
        <f>AVERAGE(H60:H71)</f>
        <v>96.428194154292612</v>
      </c>
    </row>
    <row r="73" spans="1:8" ht="26.25" customHeight="1" x14ac:dyDescent="0.4">
      <c r="C73" s="152"/>
      <c r="D73" s="152"/>
      <c r="E73" s="152"/>
      <c r="F73" s="194" t="s">
        <v>84</v>
      </c>
      <c r="G73" s="195">
        <f>STDEV(G60:G71)/G72</f>
        <v>2.1460433031543821E-3</v>
      </c>
      <c r="H73" s="195">
        <f>STDEV(H60:H71)/H72</f>
        <v>2.1460433031543821E-3</v>
      </c>
    </row>
    <row r="74" spans="1:8" ht="27" customHeight="1" thickBot="1" x14ac:dyDescent="0.45">
      <c r="A74" s="152"/>
      <c r="B74" s="152"/>
      <c r="C74" s="152"/>
      <c r="D74" s="152"/>
      <c r="E74" s="154"/>
      <c r="F74" s="196" t="s">
        <v>20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106" t="s">
        <v>106</v>
      </c>
      <c r="B76" s="107" t="s">
        <v>107</v>
      </c>
      <c r="C76" s="277" t="str">
        <f>B26</f>
        <v>Sulfamethoxazole</v>
      </c>
      <c r="D76" s="277"/>
      <c r="E76" s="96" t="s">
        <v>108</v>
      </c>
      <c r="F76" s="96"/>
      <c r="G76" s="198">
        <f>H72</f>
        <v>96.428194154292612</v>
      </c>
      <c r="H76" s="111"/>
    </row>
    <row r="77" spans="1:8" ht="18.75" x14ac:dyDescent="0.3">
      <c r="A77" s="105" t="s">
        <v>109</v>
      </c>
      <c r="B77" s="105" t="s">
        <v>110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279" t="str">
        <f>B26</f>
        <v>Sulfamethoxazole</v>
      </c>
      <c r="C79" s="279"/>
    </row>
    <row r="80" spans="1:8" ht="26.25" customHeight="1" x14ac:dyDescent="0.4">
      <c r="A80" s="107" t="s">
        <v>48</v>
      </c>
      <c r="B80" s="279" t="str">
        <f>B27</f>
        <v>S12-6</v>
      </c>
      <c r="C80" s="279"/>
    </row>
    <row r="81" spans="1:12" ht="27" customHeight="1" thickBot="1" x14ac:dyDescent="0.45">
      <c r="A81" s="107" t="s">
        <v>6</v>
      </c>
      <c r="B81" s="108">
        <f>B28</f>
        <v>99.02</v>
      </c>
    </row>
    <row r="82" spans="1:12" s="59" customFormat="1" ht="27" customHeight="1" thickBot="1" x14ac:dyDescent="0.45">
      <c r="A82" s="107" t="s">
        <v>49</v>
      </c>
      <c r="B82" s="109">
        <v>0</v>
      </c>
      <c r="C82" s="280" t="s">
        <v>50</v>
      </c>
      <c r="D82" s="281"/>
      <c r="E82" s="281"/>
      <c r="F82" s="281"/>
      <c r="G82" s="282"/>
      <c r="I82" s="110"/>
      <c r="J82" s="110"/>
      <c r="K82" s="110"/>
      <c r="L82" s="110"/>
    </row>
    <row r="83" spans="1:12" s="59" customFormat="1" ht="19.5" customHeight="1" thickBot="1" x14ac:dyDescent="0.35">
      <c r="A83" s="107" t="s">
        <v>51</v>
      </c>
      <c r="B83" s="111">
        <f>B81-B82</f>
        <v>99.02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59" customFormat="1" ht="27" customHeight="1" thickBot="1" x14ac:dyDescent="0.45">
      <c r="A84" s="107" t="s">
        <v>52</v>
      </c>
      <c r="B84" s="114">
        <v>1</v>
      </c>
      <c r="C84" s="283" t="s">
        <v>111</v>
      </c>
      <c r="D84" s="284"/>
      <c r="E84" s="284"/>
      <c r="F84" s="284"/>
      <c r="G84" s="284"/>
      <c r="H84" s="285"/>
      <c r="I84" s="110"/>
      <c r="J84" s="110"/>
      <c r="K84" s="110"/>
      <c r="L84" s="110"/>
    </row>
    <row r="85" spans="1:12" s="59" customFormat="1" ht="27" customHeight="1" thickBot="1" x14ac:dyDescent="0.45">
      <c r="A85" s="107" t="s">
        <v>54</v>
      </c>
      <c r="B85" s="114">
        <v>1</v>
      </c>
      <c r="C85" s="283" t="s">
        <v>112</v>
      </c>
      <c r="D85" s="284"/>
      <c r="E85" s="284"/>
      <c r="F85" s="284"/>
      <c r="G85" s="284"/>
      <c r="H85" s="285"/>
      <c r="I85" s="110"/>
      <c r="J85" s="110"/>
      <c r="K85" s="110"/>
      <c r="L85" s="110"/>
    </row>
    <row r="86" spans="1:12" s="59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59" customFormat="1" ht="18.75" x14ac:dyDescent="0.3">
      <c r="A87" s="107" t="s">
        <v>56</v>
      </c>
      <c r="B87" s="119">
        <f>B84/B85</f>
        <v>1</v>
      </c>
      <c r="C87" s="96" t="s">
        <v>57</v>
      </c>
      <c r="D87" s="96"/>
      <c r="E87" s="96"/>
      <c r="F87" s="96"/>
      <c r="G87" s="96"/>
      <c r="I87" s="110"/>
      <c r="J87" s="110"/>
      <c r="K87" s="110"/>
      <c r="L87" s="110"/>
    </row>
    <row r="88" spans="1:12" ht="19.5" customHeight="1" thickBot="1" x14ac:dyDescent="0.35">
      <c r="A88" s="105"/>
      <c r="B88" s="105"/>
    </row>
    <row r="89" spans="1:12" ht="27" customHeight="1" thickBot="1" x14ac:dyDescent="0.45">
      <c r="A89" s="120" t="s">
        <v>58</v>
      </c>
      <c r="B89" s="121">
        <v>100</v>
      </c>
      <c r="D89" s="199" t="s">
        <v>59</v>
      </c>
      <c r="E89" s="200"/>
      <c r="F89" s="286" t="s">
        <v>60</v>
      </c>
      <c r="G89" s="287"/>
    </row>
    <row r="90" spans="1:12" ht="27" customHeight="1" thickBot="1" x14ac:dyDescent="0.45">
      <c r="A90" s="122" t="s">
        <v>61</v>
      </c>
      <c r="B90" s="123">
        <v>1</v>
      </c>
      <c r="C90" s="201" t="s">
        <v>62</v>
      </c>
      <c r="D90" s="125" t="s">
        <v>63</v>
      </c>
      <c r="E90" s="126" t="s">
        <v>64</v>
      </c>
      <c r="F90" s="125" t="s">
        <v>63</v>
      </c>
      <c r="G90" s="202" t="s">
        <v>64</v>
      </c>
      <c r="I90" s="128" t="s">
        <v>65</v>
      </c>
    </row>
    <row r="91" spans="1:12" ht="26.25" customHeight="1" x14ac:dyDescent="0.4">
      <c r="A91" s="122" t="s">
        <v>66</v>
      </c>
      <c r="B91" s="123">
        <v>1</v>
      </c>
      <c r="C91" s="203">
        <v>1</v>
      </c>
      <c r="D91" s="130">
        <v>45500008</v>
      </c>
      <c r="E91" s="131">
        <f>IF(ISBLANK(D91),"-",$D$101/$D$98*D91)</f>
        <v>43199079.755325675</v>
      </c>
      <c r="F91" s="130">
        <v>40051273</v>
      </c>
      <c r="G91" s="132">
        <f>IF(ISBLANK(F91),"-",$D$101/$F$98*F91)</f>
        <v>42852771.891058661</v>
      </c>
      <c r="I91" s="133"/>
    </row>
    <row r="92" spans="1:12" ht="26.25" customHeight="1" x14ac:dyDescent="0.4">
      <c r="A92" s="122" t="s">
        <v>67</v>
      </c>
      <c r="B92" s="123">
        <v>1</v>
      </c>
      <c r="C92" s="152">
        <v>2</v>
      </c>
      <c r="D92" s="135">
        <v>45743910</v>
      </c>
      <c r="E92" s="136">
        <f>IF(ISBLANK(D92),"-",$D$101/$D$98*D92)</f>
        <v>43430647.669566117</v>
      </c>
      <c r="F92" s="135">
        <v>40171593</v>
      </c>
      <c r="G92" s="137">
        <f>IF(ISBLANK(F92),"-",$D$101/$F$98*F92)</f>
        <v>42981508.011729091</v>
      </c>
      <c r="I92" s="268">
        <f>ABS((F96/D96*D95)-F95)/D95</f>
        <v>8.4322008806976077E-3</v>
      </c>
    </row>
    <row r="93" spans="1:12" ht="26.25" customHeight="1" x14ac:dyDescent="0.4">
      <c r="A93" s="122" t="s">
        <v>68</v>
      </c>
      <c r="B93" s="123">
        <v>1</v>
      </c>
      <c r="C93" s="152">
        <v>3</v>
      </c>
      <c r="D93" s="135">
        <v>45804787</v>
      </c>
      <c r="E93" s="136">
        <f>IF(ISBLANK(D93),"-",$D$101/$D$98*D93)</f>
        <v>43488446.129255727</v>
      </c>
      <c r="F93" s="135">
        <v>40233213</v>
      </c>
      <c r="G93" s="137">
        <f>IF(ISBLANK(F93),"-",$D$101/$F$98*F93)</f>
        <v>43047438.195868976</v>
      </c>
      <c r="I93" s="268"/>
    </row>
    <row r="94" spans="1:12" ht="27" customHeight="1" thickBot="1" x14ac:dyDescent="0.45">
      <c r="A94" s="122" t="s">
        <v>69</v>
      </c>
      <c r="B94" s="123">
        <v>1</v>
      </c>
      <c r="C94" s="204">
        <v>4</v>
      </c>
      <c r="D94" s="139"/>
      <c r="E94" s="140" t="str">
        <f>IF(ISBLANK(D94),"-",$D$101/$D$98*D94)</f>
        <v>-</v>
      </c>
      <c r="F94" s="205"/>
      <c r="G94" s="141" t="str">
        <f>IF(ISBLANK(F94),"-",$D$101/$F$98*F94)</f>
        <v>-</v>
      </c>
      <c r="I94" s="142"/>
    </row>
    <row r="95" spans="1:12" ht="27" customHeight="1" thickBot="1" x14ac:dyDescent="0.45">
      <c r="A95" s="122" t="s">
        <v>70</v>
      </c>
      <c r="B95" s="123">
        <v>1</v>
      </c>
      <c r="C95" s="107" t="s">
        <v>71</v>
      </c>
      <c r="D95" s="206">
        <f>AVERAGE(D91:D94)</f>
        <v>45682901.666666664</v>
      </c>
      <c r="E95" s="145">
        <f>AVERAGE(E91:E94)</f>
        <v>43372724.518049173</v>
      </c>
      <c r="F95" s="207">
        <f>AVERAGE(F91:F94)</f>
        <v>40152026.333333336</v>
      </c>
      <c r="G95" s="208">
        <f>AVERAGE(G91:G94)</f>
        <v>42960572.699552238</v>
      </c>
    </row>
    <row r="96" spans="1:12" ht="26.25" customHeight="1" x14ac:dyDescent="0.4">
      <c r="A96" s="122" t="s">
        <v>72</v>
      </c>
      <c r="B96" s="108">
        <v>1</v>
      </c>
      <c r="C96" s="209" t="s">
        <v>113</v>
      </c>
      <c r="D96" s="210">
        <v>18.91</v>
      </c>
      <c r="E96" s="96"/>
      <c r="F96" s="149">
        <v>16.78</v>
      </c>
    </row>
    <row r="97" spans="1:10" ht="26.25" customHeight="1" x14ac:dyDescent="0.4">
      <c r="A97" s="122" t="s">
        <v>74</v>
      </c>
      <c r="B97" s="108">
        <v>1</v>
      </c>
      <c r="C97" s="211" t="s">
        <v>114</v>
      </c>
      <c r="D97" s="212">
        <f>D96*$B$87</f>
        <v>18.91</v>
      </c>
      <c r="E97" s="152"/>
      <c r="F97" s="151">
        <f>F96*$B$87</f>
        <v>16.78</v>
      </c>
    </row>
    <row r="98" spans="1:10" ht="19.5" customHeight="1" thickBot="1" x14ac:dyDescent="0.35">
      <c r="A98" s="122" t="s">
        <v>76</v>
      </c>
      <c r="B98" s="152">
        <f>(B97/B96)*(B95/B94)*(B93/B92)*(B91/B90)*B89</f>
        <v>100</v>
      </c>
      <c r="C98" s="211" t="s">
        <v>115</v>
      </c>
      <c r="D98" s="213">
        <f>D97*$B$83/100</f>
        <v>18.724682000000001</v>
      </c>
      <c r="E98" s="154"/>
      <c r="F98" s="153">
        <f>F97*$B$83/100</f>
        <v>16.615556000000002</v>
      </c>
    </row>
    <row r="99" spans="1:10" ht="19.5" customHeight="1" thickBot="1" x14ac:dyDescent="0.35">
      <c r="A99" s="269" t="s">
        <v>78</v>
      </c>
      <c r="B99" s="270"/>
      <c r="C99" s="211" t="s">
        <v>116</v>
      </c>
      <c r="D99" s="214">
        <f>D98/$B$98</f>
        <v>0.18724682000000001</v>
      </c>
      <c r="E99" s="154"/>
      <c r="F99" s="157">
        <f>F98/$B$98</f>
        <v>0.16615556000000001</v>
      </c>
      <c r="H99" s="147"/>
    </row>
    <row r="100" spans="1:10" ht="19.5" customHeight="1" thickBot="1" x14ac:dyDescent="0.35">
      <c r="A100" s="271"/>
      <c r="B100" s="272"/>
      <c r="C100" s="211" t="s">
        <v>80</v>
      </c>
      <c r="D100" s="215">
        <f>$B$56/$B$116</f>
        <v>0.17777777777777778</v>
      </c>
      <c r="F100" s="162"/>
      <c r="G100" s="216"/>
      <c r="H100" s="147"/>
    </row>
    <row r="101" spans="1:10" ht="18.75" x14ac:dyDescent="0.3">
      <c r="C101" s="211" t="s">
        <v>81</v>
      </c>
      <c r="D101" s="212">
        <f>D100*$B$98</f>
        <v>17.777777777777779</v>
      </c>
      <c r="F101" s="162"/>
      <c r="H101" s="147"/>
    </row>
    <row r="102" spans="1:10" ht="19.5" customHeight="1" thickBot="1" x14ac:dyDescent="0.35">
      <c r="C102" s="217" t="s">
        <v>82</v>
      </c>
      <c r="D102" s="218">
        <f>D101/B34</f>
        <v>17.777777777777779</v>
      </c>
      <c r="F102" s="166"/>
      <c r="H102" s="147"/>
      <c r="J102" s="219"/>
    </row>
    <row r="103" spans="1:10" ht="18.75" x14ac:dyDescent="0.3">
      <c r="C103" s="220" t="s">
        <v>117</v>
      </c>
      <c r="D103" s="221">
        <f>AVERAGE(E91:E94,G91:G94)</f>
        <v>43166648.608800709</v>
      </c>
      <c r="F103" s="166"/>
      <c r="G103" s="216"/>
      <c r="H103" s="147"/>
      <c r="J103" s="222"/>
    </row>
    <row r="104" spans="1:10" ht="18.75" x14ac:dyDescent="0.3">
      <c r="C104" s="194" t="s">
        <v>84</v>
      </c>
      <c r="D104" s="223">
        <f>STDEV(E91:E94,G91:G94)/D103</f>
        <v>5.872556747738642E-3</v>
      </c>
      <c r="F104" s="166"/>
      <c r="H104" s="147"/>
      <c r="J104" s="222"/>
    </row>
    <row r="105" spans="1:10" ht="19.5" customHeight="1" thickBot="1" x14ac:dyDescent="0.35">
      <c r="C105" s="196" t="s">
        <v>20</v>
      </c>
      <c r="D105" s="224">
        <f>COUNT(E91:E94,G91:G94)</f>
        <v>6</v>
      </c>
      <c r="F105" s="166"/>
      <c r="H105" s="147"/>
      <c r="J105" s="222"/>
    </row>
    <row r="106" spans="1:10" ht="19.5" customHeight="1" thickBot="1" x14ac:dyDescent="0.35">
      <c r="A106" s="170"/>
      <c r="B106" s="170"/>
      <c r="C106" s="170"/>
      <c r="D106" s="170"/>
      <c r="E106" s="170"/>
    </row>
    <row r="107" spans="1:10" ht="27" customHeight="1" thickBot="1" x14ac:dyDescent="0.45">
      <c r="A107" s="120" t="s">
        <v>118</v>
      </c>
      <c r="B107" s="121">
        <v>900</v>
      </c>
      <c r="C107" s="176" t="s">
        <v>119</v>
      </c>
      <c r="D107" s="176" t="s">
        <v>63</v>
      </c>
      <c r="E107" s="176" t="s">
        <v>120</v>
      </c>
      <c r="F107" s="225" t="s">
        <v>121</v>
      </c>
    </row>
    <row r="108" spans="1:10" ht="26.25" customHeight="1" x14ac:dyDescent="0.4">
      <c r="A108" s="122" t="s">
        <v>122</v>
      </c>
      <c r="B108" s="123">
        <v>10</v>
      </c>
      <c r="C108" s="177">
        <v>1</v>
      </c>
      <c r="D108" s="226">
        <v>35858607</v>
      </c>
      <c r="E108" s="227">
        <f t="shared" ref="E108:E113" si="1">IF(ISBLANK(D108),"-",D108/$D$103*$D$100*$B$116)</f>
        <v>664.56133437589563</v>
      </c>
      <c r="F108" s="228">
        <f t="shared" ref="F108:F113" si="2">IF(ISBLANK(D108), "-", (E108/$B$56)*100)</f>
        <v>83.070166796986953</v>
      </c>
    </row>
    <row r="109" spans="1:10" ht="26.25" customHeight="1" x14ac:dyDescent="0.4">
      <c r="A109" s="122" t="s">
        <v>95</v>
      </c>
      <c r="B109" s="123">
        <v>50</v>
      </c>
      <c r="C109" s="181">
        <v>2</v>
      </c>
      <c r="D109" s="229">
        <v>35939475</v>
      </c>
      <c r="E109" s="230">
        <f t="shared" si="1"/>
        <v>666.06004697196238</v>
      </c>
      <c r="F109" s="231">
        <f t="shared" si="2"/>
        <v>83.257505871495297</v>
      </c>
    </row>
    <row r="110" spans="1:10" ht="26.25" customHeight="1" x14ac:dyDescent="0.4">
      <c r="A110" s="122" t="s">
        <v>96</v>
      </c>
      <c r="B110" s="123">
        <v>1</v>
      </c>
      <c r="C110" s="181">
        <v>3</v>
      </c>
      <c r="D110" s="229">
        <v>35842641</v>
      </c>
      <c r="E110" s="230">
        <f t="shared" si="1"/>
        <v>664.26543927141915</v>
      </c>
      <c r="F110" s="231">
        <f t="shared" si="2"/>
        <v>83.033179908927394</v>
      </c>
    </row>
    <row r="111" spans="1:10" ht="26.25" customHeight="1" x14ac:dyDescent="0.4">
      <c r="A111" s="122" t="s">
        <v>97</v>
      </c>
      <c r="B111" s="123">
        <v>1</v>
      </c>
      <c r="C111" s="181">
        <v>4</v>
      </c>
      <c r="D111" s="229">
        <v>35781338</v>
      </c>
      <c r="E111" s="230">
        <f t="shared" si="1"/>
        <v>663.12932142163083</v>
      </c>
      <c r="F111" s="231">
        <f t="shared" si="2"/>
        <v>82.891165177703854</v>
      </c>
    </row>
    <row r="112" spans="1:10" ht="26.25" customHeight="1" x14ac:dyDescent="0.4">
      <c r="A112" s="122" t="s">
        <v>98</v>
      </c>
      <c r="B112" s="123">
        <v>1</v>
      </c>
      <c r="C112" s="181">
        <v>5</v>
      </c>
      <c r="D112" s="229">
        <v>35858419</v>
      </c>
      <c r="E112" s="230">
        <f t="shared" si="1"/>
        <v>664.55785020455403</v>
      </c>
      <c r="F112" s="231">
        <f t="shared" si="2"/>
        <v>83.069731275569254</v>
      </c>
    </row>
    <row r="113" spans="1:10" ht="27" customHeight="1" thickBot="1" x14ac:dyDescent="0.45">
      <c r="A113" s="122" t="s">
        <v>100</v>
      </c>
      <c r="B113" s="123">
        <v>1</v>
      </c>
      <c r="C113" s="185">
        <v>6</v>
      </c>
      <c r="D113" s="232">
        <v>35788313</v>
      </c>
      <c r="E113" s="233">
        <f t="shared" si="1"/>
        <v>663.25858788497317</v>
      </c>
      <c r="F113" s="234">
        <f t="shared" si="2"/>
        <v>82.907323485621646</v>
      </c>
    </row>
    <row r="114" spans="1:10" ht="27" customHeight="1" thickBot="1" x14ac:dyDescent="0.45">
      <c r="A114" s="122" t="s">
        <v>101</v>
      </c>
      <c r="B114" s="123">
        <v>1</v>
      </c>
      <c r="C114" s="235"/>
      <c r="D114" s="152"/>
      <c r="E114" s="96"/>
      <c r="F114" s="231"/>
    </row>
    <row r="115" spans="1:10" ht="26.25" customHeight="1" x14ac:dyDescent="0.4">
      <c r="A115" s="122" t="s">
        <v>102</v>
      </c>
      <c r="B115" s="123">
        <v>1</v>
      </c>
      <c r="C115" s="235"/>
      <c r="D115" s="236" t="s">
        <v>71</v>
      </c>
      <c r="E115" s="237">
        <f>AVERAGE(E108:E113)</f>
        <v>664.3054300217392</v>
      </c>
      <c r="F115" s="238">
        <f>AVERAGE(F108:F113)</f>
        <v>83.0381787527174</v>
      </c>
    </row>
    <row r="116" spans="1:10" ht="27" customHeight="1" thickBot="1" x14ac:dyDescent="0.45">
      <c r="A116" s="122" t="s">
        <v>103</v>
      </c>
      <c r="B116" s="134">
        <f>(B115/B114)*(B113/B112)*(B111/B110)*(B109/B108)*B107</f>
        <v>4500</v>
      </c>
      <c r="C116" s="239"/>
      <c r="D116" s="240" t="s">
        <v>84</v>
      </c>
      <c r="E116" s="195">
        <f>STDEV(E108:E113)/E115</f>
        <v>1.6056453231128088E-3</v>
      </c>
      <c r="F116" s="241">
        <f>STDEV(F108:F113)/F115</f>
        <v>1.6056453231128088E-3</v>
      </c>
      <c r="I116" s="96"/>
    </row>
    <row r="117" spans="1:10" ht="27" customHeight="1" thickBot="1" x14ac:dyDescent="0.45">
      <c r="A117" s="269" t="s">
        <v>78</v>
      </c>
      <c r="B117" s="273"/>
      <c r="C117" s="242"/>
      <c r="D117" s="196" t="s">
        <v>20</v>
      </c>
      <c r="E117" s="243">
        <f>COUNT(E108:E113)</f>
        <v>6</v>
      </c>
      <c r="F117" s="244">
        <f>COUNT(F108:F113)</f>
        <v>6</v>
      </c>
      <c r="I117" s="96"/>
      <c r="J117" s="222"/>
    </row>
    <row r="118" spans="1:10" ht="26.25" customHeight="1" thickBot="1" x14ac:dyDescent="0.35">
      <c r="A118" s="271"/>
      <c r="B118" s="274"/>
      <c r="C118" s="96"/>
      <c r="D118" s="245"/>
      <c r="E118" s="275" t="s">
        <v>123</v>
      </c>
      <c r="F118" s="276"/>
      <c r="G118" s="96"/>
      <c r="H118" s="96"/>
      <c r="I118" s="96"/>
    </row>
    <row r="119" spans="1:10" ht="25.5" customHeight="1" x14ac:dyDescent="0.4">
      <c r="A119" s="246"/>
      <c r="B119" s="118"/>
      <c r="C119" s="96"/>
      <c r="D119" s="240" t="s">
        <v>124</v>
      </c>
      <c r="E119" s="247">
        <f>MIN(E108:E113)</f>
        <v>663.12932142163083</v>
      </c>
      <c r="F119" s="248">
        <f>MIN(F108:F113)</f>
        <v>82.891165177703854</v>
      </c>
      <c r="G119" s="96"/>
      <c r="H119" s="96"/>
      <c r="I119" s="96"/>
    </row>
    <row r="120" spans="1:10" ht="24" customHeight="1" thickBot="1" x14ac:dyDescent="0.45">
      <c r="A120" s="246"/>
      <c r="B120" s="118"/>
      <c r="C120" s="96"/>
      <c r="D120" s="163" t="s">
        <v>125</v>
      </c>
      <c r="E120" s="249">
        <f>MAX(E108:E113)</f>
        <v>666.06004697196238</v>
      </c>
      <c r="F120" s="250">
        <f>MAX(F108:F113)</f>
        <v>83.257505871495297</v>
      </c>
      <c r="G120" s="96"/>
      <c r="H120" s="96"/>
      <c r="I120" s="96"/>
    </row>
    <row r="121" spans="1:10" ht="27" customHeight="1" x14ac:dyDescent="0.3">
      <c r="A121" s="246"/>
      <c r="B121" s="118"/>
      <c r="C121" s="96"/>
      <c r="D121" s="96"/>
      <c r="E121" s="96"/>
      <c r="F121" s="152"/>
      <c r="G121" s="96"/>
      <c r="H121" s="96"/>
      <c r="I121" s="96"/>
    </row>
    <row r="122" spans="1:10" ht="25.5" customHeight="1" x14ac:dyDescent="0.3">
      <c r="A122" s="246"/>
      <c r="B122" s="118"/>
      <c r="C122" s="96"/>
      <c r="D122" s="96"/>
      <c r="E122" s="96"/>
      <c r="F122" s="152"/>
      <c r="G122" s="96"/>
      <c r="H122" s="96"/>
      <c r="I122" s="96"/>
    </row>
    <row r="123" spans="1:10" ht="18.75" x14ac:dyDescent="0.3">
      <c r="A123" s="246"/>
      <c r="B123" s="118"/>
      <c r="C123" s="96"/>
      <c r="D123" s="96"/>
      <c r="E123" s="96"/>
      <c r="F123" s="152"/>
      <c r="G123" s="96"/>
      <c r="H123" s="96"/>
      <c r="I123" s="96"/>
    </row>
    <row r="124" spans="1:10" ht="45.75" customHeight="1" x14ac:dyDescent="0.65">
      <c r="A124" s="106" t="s">
        <v>106</v>
      </c>
      <c r="B124" s="107" t="s">
        <v>126</v>
      </c>
      <c r="C124" s="277" t="str">
        <f>B26</f>
        <v>Sulfamethoxazole</v>
      </c>
      <c r="D124" s="277"/>
      <c r="E124" s="96" t="s">
        <v>127</v>
      </c>
      <c r="F124" s="96"/>
      <c r="G124" s="251">
        <f>F115</f>
        <v>83.0381787527174</v>
      </c>
      <c r="H124" s="96"/>
      <c r="I124" s="96"/>
    </row>
    <row r="125" spans="1:10" ht="45.75" customHeight="1" x14ac:dyDescent="0.65">
      <c r="A125" s="106"/>
      <c r="B125" s="107" t="s">
        <v>128</v>
      </c>
      <c r="C125" s="107" t="s">
        <v>129</v>
      </c>
      <c r="D125" s="251">
        <f>MIN(F108:F113)</f>
        <v>82.891165177703854</v>
      </c>
      <c r="E125" s="107" t="s">
        <v>130</v>
      </c>
      <c r="F125" s="251">
        <f>MAX(F108:F113)</f>
        <v>83.257505871495297</v>
      </c>
      <c r="G125" s="252"/>
      <c r="H125" s="96"/>
      <c r="I125" s="96"/>
    </row>
    <row r="126" spans="1:10" ht="19.5" customHeight="1" thickBot="1" x14ac:dyDescent="0.35">
      <c r="A126" s="253"/>
      <c r="B126" s="253"/>
      <c r="C126" s="254"/>
      <c r="D126" s="254"/>
      <c r="E126" s="254"/>
      <c r="F126" s="254"/>
      <c r="G126" s="254"/>
      <c r="H126" s="254"/>
    </row>
    <row r="127" spans="1:10" ht="18.75" x14ac:dyDescent="0.3">
      <c r="B127" s="278" t="s">
        <v>26</v>
      </c>
      <c r="C127" s="278"/>
      <c r="E127" s="201" t="s">
        <v>27</v>
      </c>
      <c r="F127" s="255"/>
      <c r="G127" s="278" t="s">
        <v>28</v>
      </c>
      <c r="H127" s="278"/>
    </row>
    <row r="128" spans="1:10" ht="69.95" customHeight="1" x14ac:dyDescent="0.3">
      <c r="A128" s="106" t="s">
        <v>29</v>
      </c>
      <c r="B128" s="256"/>
      <c r="C128" s="256"/>
      <c r="E128" s="256"/>
      <c r="F128" s="96"/>
      <c r="G128" s="256"/>
      <c r="H128" s="256"/>
    </row>
    <row r="129" spans="1:9" ht="69.95" customHeight="1" x14ac:dyDescent="0.3">
      <c r="A129" s="106" t="s">
        <v>30</v>
      </c>
      <c r="B129" s="257"/>
      <c r="C129" s="257"/>
      <c r="E129" s="257"/>
      <c r="F129" s="96"/>
      <c r="G129" s="258"/>
      <c r="H129" s="258"/>
    </row>
    <row r="130" spans="1:9" ht="18.75" x14ac:dyDescent="0.3">
      <c r="A130" s="152"/>
      <c r="B130" s="152"/>
      <c r="C130" s="152"/>
      <c r="D130" s="152"/>
      <c r="E130" s="152"/>
      <c r="F130" s="154"/>
      <c r="G130" s="152"/>
      <c r="H130" s="152"/>
      <c r="I130" s="96"/>
    </row>
    <row r="131" spans="1:9" ht="18.75" x14ac:dyDescent="0.3">
      <c r="A131" s="152"/>
      <c r="B131" s="152"/>
      <c r="C131" s="152"/>
      <c r="D131" s="152"/>
      <c r="E131" s="152"/>
      <c r="F131" s="154"/>
      <c r="G131" s="152"/>
      <c r="H131" s="152"/>
      <c r="I131" s="96"/>
    </row>
    <row r="132" spans="1:9" ht="18.75" x14ac:dyDescent="0.3">
      <c r="A132" s="152"/>
      <c r="B132" s="152"/>
      <c r="C132" s="152"/>
      <c r="D132" s="152"/>
      <c r="E132" s="152"/>
      <c r="F132" s="154"/>
      <c r="G132" s="152"/>
      <c r="H132" s="152"/>
      <c r="I132" s="96"/>
    </row>
    <row r="133" spans="1:9" ht="18.75" x14ac:dyDescent="0.3">
      <c r="A133" s="152"/>
      <c r="B133" s="152"/>
      <c r="C133" s="152"/>
      <c r="D133" s="152"/>
      <c r="E133" s="152"/>
      <c r="F133" s="154"/>
      <c r="G133" s="152"/>
      <c r="H133" s="152"/>
      <c r="I133" s="96"/>
    </row>
    <row r="134" spans="1:9" ht="18.75" x14ac:dyDescent="0.3">
      <c r="A134" s="152"/>
      <c r="B134" s="152"/>
      <c r="C134" s="152"/>
      <c r="D134" s="152"/>
      <c r="E134" s="152"/>
      <c r="F134" s="154"/>
      <c r="G134" s="152"/>
      <c r="H134" s="152"/>
      <c r="I134" s="96"/>
    </row>
    <row r="135" spans="1:9" ht="18.75" x14ac:dyDescent="0.3">
      <c r="A135" s="152"/>
      <c r="B135" s="152"/>
      <c r="C135" s="152"/>
      <c r="D135" s="152"/>
      <c r="E135" s="152"/>
      <c r="F135" s="154"/>
      <c r="G135" s="152"/>
      <c r="H135" s="152"/>
      <c r="I135" s="96"/>
    </row>
    <row r="136" spans="1:9" ht="18.75" x14ac:dyDescent="0.3">
      <c r="A136" s="152"/>
      <c r="B136" s="152"/>
      <c r="C136" s="152"/>
      <c r="D136" s="152"/>
      <c r="E136" s="152"/>
      <c r="F136" s="154"/>
      <c r="G136" s="152"/>
      <c r="H136" s="152"/>
      <c r="I136" s="96"/>
    </row>
    <row r="137" spans="1:9" ht="18.75" x14ac:dyDescent="0.3">
      <c r="A137" s="152"/>
      <c r="B137" s="152"/>
      <c r="C137" s="152"/>
      <c r="D137" s="152"/>
      <c r="E137" s="152"/>
      <c r="F137" s="154"/>
      <c r="G137" s="152"/>
      <c r="H137" s="152"/>
      <c r="I137" s="96"/>
    </row>
    <row r="138" spans="1:9" ht="18.75" x14ac:dyDescent="0.3">
      <c r="A138" s="152"/>
      <c r="B138" s="152"/>
      <c r="C138" s="152"/>
      <c r="D138" s="152"/>
      <c r="E138" s="152"/>
      <c r="F138" s="154"/>
      <c r="G138" s="152"/>
      <c r="H138" s="152"/>
      <c r="I138" s="96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2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9"/>
  </cols>
  <sheetData>
    <row r="1" spans="1:9" ht="18.75" customHeight="1" x14ac:dyDescent="0.25">
      <c r="A1" s="300" t="s">
        <v>45</v>
      </c>
      <c r="B1" s="300"/>
      <c r="C1" s="300"/>
      <c r="D1" s="300"/>
      <c r="E1" s="300"/>
      <c r="F1" s="300"/>
      <c r="G1" s="300"/>
      <c r="H1" s="300"/>
      <c r="I1" s="300"/>
    </row>
    <row r="2" spans="1:9" ht="18.75" customHeight="1" x14ac:dyDescent="0.25">
      <c r="A2" s="300"/>
      <c r="B2" s="300"/>
      <c r="C2" s="300"/>
      <c r="D2" s="300"/>
      <c r="E2" s="300"/>
      <c r="F2" s="300"/>
      <c r="G2" s="300"/>
      <c r="H2" s="300"/>
      <c r="I2" s="300"/>
    </row>
    <row r="3" spans="1:9" ht="18.75" customHeight="1" x14ac:dyDescent="0.25">
      <c r="A3" s="300"/>
      <c r="B3" s="300"/>
      <c r="C3" s="300"/>
      <c r="D3" s="300"/>
      <c r="E3" s="300"/>
      <c r="F3" s="300"/>
      <c r="G3" s="300"/>
      <c r="H3" s="300"/>
      <c r="I3" s="300"/>
    </row>
    <row r="4" spans="1:9" ht="18.75" customHeight="1" x14ac:dyDescent="0.25">
      <c r="A4" s="300"/>
      <c r="B4" s="300"/>
      <c r="C4" s="300"/>
      <c r="D4" s="300"/>
      <c r="E4" s="300"/>
      <c r="F4" s="300"/>
      <c r="G4" s="300"/>
      <c r="H4" s="300"/>
      <c r="I4" s="300"/>
    </row>
    <row r="5" spans="1:9" ht="18.75" customHeight="1" x14ac:dyDescent="0.25">
      <c r="A5" s="300"/>
      <c r="B5" s="300"/>
      <c r="C5" s="300"/>
      <c r="D5" s="300"/>
      <c r="E5" s="300"/>
      <c r="F5" s="300"/>
      <c r="G5" s="300"/>
      <c r="H5" s="300"/>
      <c r="I5" s="300"/>
    </row>
    <row r="6" spans="1:9" ht="18.75" customHeight="1" x14ac:dyDescent="0.25">
      <c r="A6" s="300"/>
      <c r="B6" s="300"/>
      <c r="C6" s="300"/>
      <c r="D6" s="300"/>
      <c r="E6" s="300"/>
      <c r="F6" s="300"/>
      <c r="G6" s="300"/>
      <c r="H6" s="300"/>
      <c r="I6" s="300"/>
    </row>
    <row r="7" spans="1:9" ht="18.75" customHeight="1" x14ac:dyDescent="0.25">
      <c r="A7" s="300"/>
      <c r="B7" s="300"/>
      <c r="C7" s="300"/>
      <c r="D7" s="300"/>
      <c r="E7" s="300"/>
      <c r="F7" s="300"/>
      <c r="G7" s="300"/>
      <c r="H7" s="300"/>
      <c r="I7" s="300"/>
    </row>
    <row r="8" spans="1:9" x14ac:dyDescent="0.25">
      <c r="A8" s="301" t="s">
        <v>46</v>
      </c>
      <c r="B8" s="301"/>
      <c r="C8" s="301"/>
      <c r="D8" s="301"/>
      <c r="E8" s="301"/>
      <c r="F8" s="301"/>
      <c r="G8" s="301"/>
      <c r="H8" s="301"/>
      <c r="I8" s="301"/>
    </row>
    <row r="9" spans="1:9" x14ac:dyDescent="0.25">
      <c r="A9" s="301"/>
      <c r="B9" s="301"/>
      <c r="C9" s="301"/>
      <c r="D9" s="301"/>
      <c r="E9" s="301"/>
      <c r="F9" s="301"/>
      <c r="G9" s="301"/>
      <c r="H9" s="301"/>
      <c r="I9" s="301"/>
    </row>
    <row r="10" spans="1:9" x14ac:dyDescent="0.25">
      <c r="A10" s="301"/>
      <c r="B10" s="301"/>
      <c r="C10" s="301"/>
      <c r="D10" s="301"/>
      <c r="E10" s="301"/>
      <c r="F10" s="301"/>
      <c r="G10" s="301"/>
      <c r="H10" s="301"/>
      <c r="I10" s="301"/>
    </row>
    <row r="11" spans="1:9" x14ac:dyDescent="0.25">
      <c r="A11" s="301"/>
      <c r="B11" s="301"/>
      <c r="C11" s="301"/>
      <c r="D11" s="301"/>
      <c r="E11" s="301"/>
      <c r="F11" s="301"/>
      <c r="G11" s="301"/>
      <c r="H11" s="301"/>
      <c r="I11" s="301"/>
    </row>
    <row r="12" spans="1:9" x14ac:dyDescent="0.25">
      <c r="A12" s="301"/>
      <c r="B12" s="301"/>
      <c r="C12" s="301"/>
      <c r="D12" s="301"/>
      <c r="E12" s="301"/>
      <c r="F12" s="301"/>
      <c r="G12" s="301"/>
      <c r="H12" s="301"/>
      <c r="I12" s="301"/>
    </row>
    <row r="13" spans="1:9" x14ac:dyDescent="0.25">
      <c r="A13" s="301"/>
      <c r="B13" s="301"/>
      <c r="C13" s="301"/>
      <c r="D13" s="301"/>
      <c r="E13" s="301"/>
      <c r="F13" s="301"/>
      <c r="G13" s="301"/>
      <c r="H13" s="301"/>
      <c r="I13" s="301"/>
    </row>
    <row r="14" spans="1:9" x14ac:dyDescent="0.25">
      <c r="A14" s="301"/>
      <c r="B14" s="301"/>
      <c r="C14" s="301"/>
      <c r="D14" s="301"/>
      <c r="E14" s="301"/>
      <c r="F14" s="301"/>
      <c r="G14" s="301"/>
      <c r="H14" s="301"/>
      <c r="I14" s="301"/>
    </row>
    <row r="15" spans="1:9" ht="19.5" customHeight="1" thickBot="1" x14ac:dyDescent="0.35">
      <c r="A15" s="96"/>
    </row>
    <row r="16" spans="1:9" ht="19.5" customHeight="1" thickBot="1" x14ac:dyDescent="0.35">
      <c r="A16" s="302" t="s">
        <v>31</v>
      </c>
      <c r="B16" s="303"/>
      <c r="C16" s="303"/>
      <c r="D16" s="303"/>
      <c r="E16" s="303"/>
      <c r="F16" s="303"/>
      <c r="G16" s="303"/>
      <c r="H16" s="304"/>
    </row>
    <row r="17" spans="1:14" ht="20.25" customHeight="1" x14ac:dyDescent="0.25">
      <c r="A17" s="305" t="s">
        <v>47</v>
      </c>
      <c r="B17" s="305"/>
      <c r="C17" s="305"/>
      <c r="D17" s="305"/>
      <c r="E17" s="305"/>
      <c r="F17" s="305"/>
      <c r="G17" s="305"/>
      <c r="H17" s="305"/>
    </row>
    <row r="18" spans="1:14" ht="26.25" customHeight="1" x14ac:dyDescent="0.4">
      <c r="A18" s="97" t="s">
        <v>33</v>
      </c>
      <c r="B18" s="306" t="s">
        <v>5</v>
      </c>
      <c r="C18" s="306"/>
      <c r="D18" s="98"/>
      <c r="E18" s="99"/>
      <c r="F18" s="100"/>
      <c r="G18" s="100"/>
      <c r="H18" s="100"/>
    </row>
    <row r="19" spans="1:14" ht="26.25" customHeight="1" x14ac:dyDescent="0.4">
      <c r="A19" s="97" t="s">
        <v>34</v>
      </c>
      <c r="B19" s="101" t="s">
        <v>7</v>
      </c>
      <c r="C19" s="100">
        <v>1</v>
      </c>
      <c r="D19" s="100"/>
      <c r="E19" s="100"/>
      <c r="F19" s="100"/>
      <c r="G19" s="100"/>
      <c r="H19" s="100"/>
    </row>
    <row r="20" spans="1:14" ht="26.25" customHeight="1" x14ac:dyDescent="0.4">
      <c r="A20" s="97" t="s">
        <v>35</v>
      </c>
      <c r="B20" s="307" t="s">
        <v>9</v>
      </c>
      <c r="C20" s="307"/>
      <c r="D20" s="100"/>
      <c r="E20" s="100"/>
      <c r="F20" s="100"/>
      <c r="G20" s="100"/>
      <c r="H20" s="100"/>
    </row>
    <row r="21" spans="1:14" ht="26.25" customHeight="1" x14ac:dyDescent="0.4">
      <c r="A21" s="97" t="s">
        <v>36</v>
      </c>
      <c r="B21" s="307" t="s">
        <v>11</v>
      </c>
      <c r="C21" s="307"/>
      <c r="D21" s="307"/>
      <c r="E21" s="307"/>
      <c r="F21" s="307"/>
      <c r="G21" s="307"/>
      <c r="H21" s="307"/>
      <c r="I21" s="102"/>
    </row>
    <row r="22" spans="1:14" ht="26.25" customHeight="1" x14ac:dyDescent="0.4">
      <c r="A22" s="97" t="s">
        <v>37</v>
      </c>
      <c r="B22" s="103" t="s">
        <v>132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7" t="s">
        <v>38</v>
      </c>
      <c r="B23" s="103"/>
      <c r="C23" s="100"/>
      <c r="D23" s="100"/>
      <c r="E23" s="100"/>
      <c r="F23" s="100"/>
      <c r="G23" s="100"/>
      <c r="H23" s="100"/>
    </row>
    <row r="24" spans="1:14" ht="18.75" x14ac:dyDescent="0.3">
      <c r="A24" s="97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306" t="s">
        <v>136</v>
      </c>
      <c r="C26" s="306"/>
    </row>
    <row r="27" spans="1:14" ht="26.25" customHeight="1" x14ac:dyDescent="0.4">
      <c r="A27" s="107" t="s">
        <v>48</v>
      </c>
      <c r="B27" s="308" t="s">
        <v>137</v>
      </c>
      <c r="C27" s="308"/>
    </row>
    <row r="28" spans="1:14" ht="27" customHeight="1" thickBot="1" x14ac:dyDescent="0.45">
      <c r="A28" s="107" t="s">
        <v>6</v>
      </c>
      <c r="B28" s="108">
        <v>99.3</v>
      </c>
    </row>
    <row r="29" spans="1:14" s="59" customFormat="1" ht="27" customHeight="1" thickBot="1" x14ac:dyDescent="0.45">
      <c r="A29" s="107" t="s">
        <v>49</v>
      </c>
      <c r="B29" s="109">
        <v>0</v>
      </c>
      <c r="C29" s="280" t="s">
        <v>50</v>
      </c>
      <c r="D29" s="281"/>
      <c r="E29" s="281"/>
      <c r="F29" s="281"/>
      <c r="G29" s="282"/>
      <c r="I29" s="110"/>
      <c r="J29" s="110"/>
      <c r="K29" s="110"/>
      <c r="L29" s="110"/>
    </row>
    <row r="30" spans="1:14" s="59" customFormat="1" ht="19.5" customHeight="1" thickBot="1" x14ac:dyDescent="0.35">
      <c r="A30" s="107" t="s">
        <v>51</v>
      </c>
      <c r="B30" s="111">
        <f>B28-B29</f>
        <v>99.3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59" customFormat="1" ht="27" customHeight="1" thickBot="1" x14ac:dyDescent="0.45">
      <c r="A31" s="107" t="s">
        <v>52</v>
      </c>
      <c r="B31" s="114">
        <v>1</v>
      </c>
      <c r="C31" s="283" t="s">
        <v>53</v>
      </c>
      <c r="D31" s="284"/>
      <c r="E31" s="284"/>
      <c r="F31" s="284"/>
      <c r="G31" s="284"/>
      <c r="H31" s="285"/>
      <c r="I31" s="110"/>
      <c r="J31" s="110"/>
      <c r="K31" s="110"/>
      <c r="L31" s="110"/>
    </row>
    <row r="32" spans="1:14" s="59" customFormat="1" ht="27" customHeight="1" thickBot="1" x14ac:dyDescent="0.45">
      <c r="A32" s="107" t="s">
        <v>54</v>
      </c>
      <c r="B32" s="114">
        <v>1</v>
      </c>
      <c r="C32" s="283" t="s">
        <v>55</v>
      </c>
      <c r="D32" s="284"/>
      <c r="E32" s="284"/>
      <c r="F32" s="284"/>
      <c r="G32" s="284"/>
      <c r="H32" s="285"/>
      <c r="I32" s="110"/>
      <c r="J32" s="110"/>
      <c r="K32" s="110"/>
      <c r="L32" s="115"/>
      <c r="M32" s="115"/>
      <c r="N32" s="116"/>
    </row>
    <row r="33" spans="1:14" s="59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59" customFormat="1" ht="18.75" x14ac:dyDescent="0.3">
      <c r="A34" s="107" t="s">
        <v>56</v>
      </c>
      <c r="B34" s="119">
        <f>B31/B32</f>
        <v>1</v>
      </c>
      <c r="C34" s="96" t="s">
        <v>57</v>
      </c>
      <c r="D34" s="96"/>
      <c r="E34" s="96"/>
      <c r="F34" s="96"/>
      <c r="G34" s="96"/>
      <c r="I34" s="110"/>
      <c r="J34" s="110"/>
      <c r="K34" s="110"/>
      <c r="L34" s="115"/>
      <c r="M34" s="115"/>
      <c r="N34" s="116"/>
    </row>
    <row r="35" spans="1:14" s="59" customFormat="1" ht="19.5" customHeight="1" thickBot="1" x14ac:dyDescent="0.35">
      <c r="A35" s="107"/>
      <c r="B35" s="111"/>
      <c r="G35" s="96"/>
      <c r="I35" s="110"/>
      <c r="J35" s="110"/>
      <c r="K35" s="110"/>
      <c r="L35" s="115"/>
      <c r="M35" s="115"/>
      <c r="N35" s="116"/>
    </row>
    <row r="36" spans="1:14" s="59" customFormat="1" ht="27" customHeight="1" thickBot="1" x14ac:dyDescent="0.45">
      <c r="A36" s="120" t="s">
        <v>58</v>
      </c>
      <c r="B36" s="121">
        <v>25</v>
      </c>
      <c r="C36" s="96"/>
      <c r="D36" s="286" t="s">
        <v>59</v>
      </c>
      <c r="E36" s="288"/>
      <c r="F36" s="286" t="s">
        <v>60</v>
      </c>
      <c r="G36" s="287"/>
      <c r="J36" s="110"/>
      <c r="K36" s="110"/>
      <c r="L36" s="115"/>
      <c r="M36" s="115"/>
      <c r="N36" s="116"/>
    </row>
    <row r="37" spans="1:14" s="59" customFormat="1" ht="27" customHeight="1" thickBot="1" x14ac:dyDescent="0.45">
      <c r="A37" s="122" t="s">
        <v>61</v>
      </c>
      <c r="B37" s="123">
        <v>4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59" customFormat="1" ht="26.25" customHeight="1" x14ac:dyDescent="0.4">
      <c r="A38" s="122" t="s">
        <v>66</v>
      </c>
      <c r="B38" s="123">
        <v>100</v>
      </c>
      <c r="C38" s="129">
        <v>1</v>
      </c>
      <c r="D38" s="130">
        <v>2841648</v>
      </c>
      <c r="E38" s="131">
        <f>IF(ISBLANK(D38),"-",$D$48/$D$45*D38)</f>
        <v>2811080.3126799185</v>
      </c>
      <c r="F38" s="130">
        <v>2974695</v>
      </c>
      <c r="G38" s="132">
        <f>IF(ISBLANK(F38),"-",$D$48/$F$45*F38)</f>
        <v>2843535.5031494787</v>
      </c>
      <c r="I38" s="133"/>
      <c r="J38" s="110"/>
      <c r="K38" s="110"/>
      <c r="L38" s="115"/>
      <c r="M38" s="115"/>
      <c r="N38" s="116"/>
    </row>
    <row r="39" spans="1:14" s="59" customFormat="1" ht="26.25" customHeight="1" x14ac:dyDescent="0.4">
      <c r="A39" s="122" t="s">
        <v>67</v>
      </c>
      <c r="B39" s="123">
        <v>1</v>
      </c>
      <c r="C39" s="134">
        <v>2</v>
      </c>
      <c r="D39" s="135">
        <v>2855316</v>
      </c>
      <c r="E39" s="136">
        <f>IF(ISBLANK(D39),"-",$D$48/$D$45*D39)</f>
        <v>2824601.2856201665</v>
      </c>
      <c r="F39" s="135">
        <v>2982040</v>
      </c>
      <c r="G39" s="137">
        <f>IF(ISBLANK(F39),"-",$D$48/$F$45*F39)</f>
        <v>2850556.6492739161</v>
      </c>
      <c r="I39" s="268">
        <f>ABS((F43/D43*D42)-F42)/D42</f>
        <v>1.0807682324765842E-2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68</v>
      </c>
      <c r="B40" s="123">
        <v>1</v>
      </c>
      <c r="C40" s="134">
        <v>3</v>
      </c>
      <c r="D40" s="135">
        <v>2852952</v>
      </c>
      <c r="E40" s="136">
        <f>IF(ISBLANK(D40),"-",$D$48/$D$45*D40)</f>
        <v>2822262.7152345399</v>
      </c>
      <c r="F40" s="135">
        <v>2983741</v>
      </c>
      <c r="G40" s="137">
        <f>IF(ISBLANK(F40),"-",$D$48/$F$45*F40)</f>
        <v>2852182.649213694</v>
      </c>
      <c r="I40" s="268"/>
      <c r="L40" s="115"/>
      <c r="M40" s="115"/>
      <c r="N40" s="96"/>
    </row>
    <row r="41" spans="1:14" ht="27" customHeight="1" thickBot="1" x14ac:dyDescent="0.45">
      <c r="A41" s="122" t="s">
        <v>69</v>
      </c>
      <c r="B41" s="123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5"/>
      <c r="M41" s="115"/>
      <c r="N41" s="96"/>
    </row>
    <row r="42" spans="1:14" ht="27" customHeight="1" thickBot="1" x14ac:dyDescent="0.45">
      <c r="A42" s="122" t="s">
        <v>70</v>
      </c>
      <c r="B42" s="123">
        <v>1</v>
      </c>
      <c r="C42" s="143" t="s">
        <v>71</v>
      </c>
      <c r="D42" s="144">
        <f>AVERAGE(D38:D41)</f>
        <v>2849972</v>
      </c>
      <c r="E42" s="145">
        <f>AVERAGE(E38:E41)</f>
        <v>2819314.7711782083</v>
      </c>
      <c r="F42" s="144">
        <f>AVERAGE(F38:F41)</f>
        <v>2980158.6666666665</v>
      </c>
      <c r="G42" s="146">
        <f>AVERAGE(G38:G41)</f>
        <v>2848758.267212363</v>
      </c>
      <c r="H42" s="147"/>
    </row>
    <row r="43" spans="1:14" ht="26.25" customHeight="1" x14ac:dyDescent="0.4">
      <c r="A43" s="122" t="s">
        <v>72</v>
      </c>
      <c r="B43" s="123">
        <v>1</v>
      </c>
      <c r="C43" s="148" t="s">
        <v>73</v>
      </c>
      <c r="D43" s="149">
        <v>20.36</v>
      </c>
      <c r="E43" s="96"/>
      <c r="F43" s="149">
        <v>21.07</v>
      </c>
      <c r="H43" s="147"/>
    </row>
    <row r="44" spans="1:14" ht="26.25" customHeight="1" x14ac:dyDescent="0.4">
      <c r="A44" s="122" t="s">
        <v>74</v>
      </c>
      <c r="B44" s="123">
        <v>1</v>
      </c>
      <c r="C44" s="150" t="s">
        <v>75</v>
      </c>
      <c r="D44" s="151">
        <f>D43*$B$34</f>
        <v>20.36</v>
      </c>
      <c r="E44" s="152"/>
      <c r="F44" s="151">
        <f>F43*$B$34</f>
        <v>21.07</v>
      </c>
      <c r="H44" s="147"/>
    </row>
    <row r="45" spans="1:14" ht="19.5" customHeight="1" thickBot="1" x14ac:dyDescent="0.35">
      <c r="A45" s="122" t="s">
        <v>76</v>
      </c>
      <c r="B45" s="134">
        <f>(B44/B43)*(B42/B41)*(B40/B39)*(B38/B37)*B36</f>
        <v>625</v>
      </c>
      <c r="C45" s="150" t="s">
        <v>77</v>
      </c>
      <c r="D45" s="153">
        <f>D44*$B$30/100</f>
        <v>20.217479999999998</v>
      </c>
      <c r="E45" s="154"/>
      <c r="F45" s="153">
        <f>F44*$B$30/100</f>
        <v>20.922509999999999</v>
      </c>
      <c r="H45" s="147"/>
    </row>
    <row r="46" spans="1:14" ht="19.5" customHeight="1" thickBot="1" x14ac:dyDescent="0.35">
      <c r="A46" s="269" t="s">
        <v>78</v>
      </c>
      <c r="B46" s="273"/>
      <c r="C46" s="150" t="s">
        <v>79</v>
      </c>
      <c r="D46" s="155">
        <f>D45/$B$45</f>
        <v>3.2347967999999998E-2</v>
      </c>
      <c r="E46" s="156"/>
      <c r="F46" s="157">
        <f>F45/$B$45</f>
        <v>3.3476015999999997E-2</v>
      </c>
      <c r="H46" s="147"/>
    </row>
    <row r="47" spans="1:14" ht="27" customHeight="1" thickBot="1" x14ac:dyDescent="0.45">
      <c r="A47" s="271"/>
      <c r="B47" s="274"/>
      <c r="C47" s="158" t="s">
        <v>80</v>
      </c>
      <c r="D47" s="159">
        <v>3.2000000000000001E-2</v>
      </c>
      <c r="E47" s="160"/>
      <c r="F47" s="156"/>
      <c r="H47" s="147"/>
    </row>
    <row r="48" spans="1:14" ht="18.75" x14ac:dyDescent="0.3">
      <c r="C48" s="161" t="s">
        <v>81</v>
      </c>
      <c r="D48" s="153">
        <f>D47*$B$45</f>
        <v>20</v>
      </c>
      <c r="F48" s="162"/>
      <c r="H48" s="147"/>
    </row>
    <row r="49" spans="1:12" ht="19.5" customHeight="1" thickBot="1" x14ac:dyDescent="0.35">
      <c r="C49" s="163" t="s">
        <v>82</v>
      </c>
      <c r="D49" s="164">
        <f>D48/B34</f>
        <v>20</v>
      </c>
      <c r="F49" s="162"/>
      <c r="H49" s="147"/>
    </row>
    <row r="50" spans="1:12" ht="18.75" x14ac:dyDescent="0.3">
      <c r="C50" s="120" t="s">
        <v>83</v>
      </c>
      <c r="D50" s="165">
        <f>AVERAGE(E38:E41,G38:G41)</f>
        <v>2834036.5191952861</v>
      </c>
      <c r="F50" s="166"/>
      <c r="H50" s="147"/>
    </row>
    <row r="51" spans="1:12" ht="18.75" x14ac:dyDescent="0.3">
      <c r="C51" s="122" t="s">
        <v>84</v>
      </c>
      <c r="D51" s="167">
        <f>STDEV(E38:E41,G38:G41)/D50</f>
        <v>6.0027874492597656E-3</v>
      </c>
      <c r="F51" s="166"/>
      <c r="H51" s="147"/>
    </row>
    <row r="52" spans="1:12" ht="19.5" customHeight="1" thickBot="1" x14ac:dyDescent="0.35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85</v>
      </c>
    </row>
    <row r="55" spans="1:12" ht="18.75" x14ac:dyDescent="0.3">
      <c r="A55" s="96" t="s">
        <v>86</v>
      </c>
      <c r="B55" s="172" t="str">
        <f>B21</f>
        <v>Each tablet contains: Sulphamethoxazole B.P. 800 mg and Trimethoprim B.P. 160 mg.</v>
      </c>
    </row>
    <row r="56" spans="1:12" ht="26.25" customHeight="1" x14ac:dyDescent="0.4">
      <c r="A56" s="172" t="s">
        <v>87</v>
      </c>
      <c r="B56" s="173">
        <v>160</v>
      </c>
      <c r="C56" s="96" t="str">
        <f>B20</f>
        <v>Sulfamethoxazole &amp; Trimethoprim</v>
      </c>
      <c r="H56" s="152"/>
    </row>
    <row r="57" spans="1:12" ht="18.75" x14ac:dyDescent="0.3">
      <c r="A57" s="172" t="s">
        <v>88</v>
      </c>
      <c r="B57" s="174">
        <f>Uniformity!C46</f>
        <v>1043.8865000000001</v>
      </c>
      <c r="H57" s="152"/>
    </row>
    <row r="58" spans="1:12" ht="19.5" customHeight="1" thickBot="1" x14ac:dyDescent="0.35">
      <c r="H58" s="152"/>
    </row>
    <row r="59" spans="1:12" s="59" customFormat="1" ht="27" customHeight="1" thickBot="1" x14ac:dyDescent="0.45">
      <c r="A59" s="120" t="s">
        <v>89</v>
      </c>
      <c r="B59" s="121">
        <v>100</v>
      </c>
      <c r="C59" s="96"/>
      <c r="D59" s="175" t="s">
        <v>90</v>
      </c>
      <c r="E59" s="176" t="s">
        <v>62</v>
      </c>
      <c r="F59" s="176" t="s">
        <v>63</v>
      </c>
      <c r="G59" s="176" t="s">
        <v>91</v>
      </c>
      <c r="H59" s="124" t="s">
        <v>92</v>
      </c>
      <c r="L59" s="110"/>
    </row>
    <row r="60" spans="1:12" s="59" customFormat="1" ht="26.25" customHeight="1" x14ac:dyDescent="0.4">
      <c r="A60" s="122" t="s">
        <v>93</v>
      </c>
      <c r="B60" s="123">
        <v>2</v>
      </c>
      <c r="C60" s="289" t="s">
        <v>94</v>
      </c>
      <c r="D60" s="292">
        <f>Sulfamethoxazole!D60</f>
        <v>1041.1400000000001</v>
      </c>
      <c r="E60" s="177">
        <v>1</v>
      </c>
      <c r="F60" s="178">
        <v>2783171</v>
      </c>
      <c r="G60" s="179">
        <f>IF(ISBLANK(F60),"-",(F60/$D$50*$D$47*$B$68)*($B$57/$D$60))</f>
        <v>157.54280726678275</v>
      </c>
      <c r="H60" s="180">
        <f t="shared" ref="H60:H71" si="0">IF(ISBLANK(F60),"-",(G60/$B$56)*100)</f>
        <v>98.464254541739223</v>
      </c>
      <c r="L60" s="110"/>
    </row>
    <row r="61" spans="1:12" s="59" customFormat="1" ht="26.25" customHeight="1" x14ac:dyDescent="0.4">
      <c r="A61" s="122" t="s">
        <v>95</v>
      </c>
      <c r="B61" s="123">
        <v>100</v>
      </c>
      <c r="C61" s="290"/>
      <c r="D61" s="293"/>
      <c r="E61" s="181">
        <v>2</v>
      </c>
      <c r="F61" s="135">
        <v>2782579</v>
      </c>
      <c r="G61" s="182">
        <f>IF(ISBLANK(F61),"-",(F61/$D$50*$D$47*$B$68)*($B$57/$D$60))</f>
        <v>157.5092968062678</v>
      </c>
      <c r="H61" s="183">
        <f t="shared" si="0"/>
        <v>98.443310503917374</v>
      </c>
      <c r="L61" s="110"/>
    </row>
    <row r="62" spans="1:12" s="59" customFormat="1" ht="26.25" customHeight="1" x14ac:dyDescent="0.4">
      <c r="A62" s="122" t="s">
        <v>96</v>
      </c>
      <c r="B62" s="123">
        <v>1</v>
      </c>
      <c r="C62" s="290"/>
      <c r="D62" s="293"/>
      <c r="E62" s="181">
        <v>3</v>
      </c>
      <c r="F62" s="184">
        <v>2791961</v>
      </c>
      <c r="G62" s="182">
        <f>IF(ISBLANK(F62),"-",(F62/$D$50*$D$47*$B$68)*($B$57/$D$60))</f>
        <v>158.04036967882104</v>
      </c>
      <c r="H62" s="183">
        <f t="shared" si="0"/>
        <v>98.775231049263141</v>
      </c>
      <c r="L62" s="110"/>
    </row>
    <row r="63" spans="1:12" ht="27" customHeight="1" thickBot="1" x14ac:dyDescent="0.45">
      <c r="A63" s="122" t="s">
        <v>97</v>
      </c>
      <c r="B63" s="123">
        <v>1</v>
      </c>
      <c r="C63" s="291"/>
      <c r="D63" s="294"/>
      <c r="E63" s="185">
        <v>4</v>
      </c>
      <c r="F63" s="186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2" t="s">
        <v>98</v>
      </c>
      <c r="B64" s="123">
        <v>1</v>
      </c>
      <c r="C64" s="289" t="s">
        <v>99</v>
      </c>
      <c r="D64" s="292">
        <f>Sulfamethoxazole!D64</f>
        <v>1042.5999999999999</v>
      </c>
      <c r="E64" s="177">
        <v>1</v>
      </c>
      <c r="F64" s="178">
        <v>2798005</v>
      </c>
      <c r="G64" s="179">
        <f>IF(ISBLANK(F64),"-",(F64/$D$50*$D$47*$B$68)*($B$57/$D$64))</f>
        <v>158.16070318821366</v>
      </c>
      <c r="H64" s="180">
        <f t="shared" si="0"/>
        <v>98.850439492633541</v>
      </c>
    </row>
    <row r="65" spans="1:8" ht="26.25" customHeight="1" x14ac:dyDescent="0.4">
      <c r="A65" s="122" t="s">
        <v>100</v>
      </c>
      <c r="B65" s="123">
        <v>1</v>
      </c>
      <c r="C65" s="290"/>
      <c r="D65" s="293"/>
      <c r="E65" s="181">
        <v>2</v>
      </c>
      <c r="F65" s="135">
        <v>2809448</v>
      </c>
      <c r="G65" s="182">
        <f>IF(ISBLANK(F65),"-",(F65/$D$50*$D$47*$B$68)*($B$57/$D$64))</f>
        <v>158.80753295677471</v>
      </c>
      <c r="H65" s="183">
        <f t="shared" si="0"/>
        <v>99.254708097984192</v>
      </c>
    </row>
    <row r="66" spans="1:8" ht="26.25" customHeight="1" x14ac:dyDescent="0.4">
      <c r="A66" s="122" t="s">
        <v>101</v>
      </c>
      <c r="B66" s="123">
        <v>1</v>
      </c>
      <c r="C66" s="290"/>
      <c r="D66" s="293"/>
      <c r="E66" s="181">
        <v>3</v>
      </c>
      <c r="F66" s="135">
        <v>2805288</v>
      </c>
      <c r="G66" s="182">
        <f>IF(ISBLANK(F66),"-",(F66/$D$50*$D$47*$B$68)*($B$57/$D$64))</f>
        <v>158.5723837968329</v>
      </c>
      <c r="H66" s="183">
        <f t="shared" si="0"/>
        <v>99.107739873020563</v>
      </c>
    </row>
    <row r="67" spans="1:8" ht="27" customHeight="1" thickBot="1" x14ac:dyDescent="0.45">
      <c r="A67" s="122" t="s">
        <v>102</v>
      </c>
      <c r="B67" s="123">
        <v>1</v>
      </c>
      <c r="C67" s="291"/>
      <c r="D67" s="294"/>
      <c r="E67" s="185">
        <v>4</v>
      </c>
      <c r="F67" s="186"/>
      <c r="G67" s="187" t="str">
        <f>IF(ISBLANK(F67),"-",(F67/$D$50*$D$47*$B$68)*($B$57/$D$64))</f>
        <v>-</v>
      </c>
      <c r="H67" s="188" t="str">
        <f t="shared" si="0"/>
        <v>-</v>
      </c>
    </row>
    <row r="68" spans="1:8" ht="26.25" customHeight="1" x14ac:dyDescent="0.4">
      <c r="A68" s="122" t="s">
        <v>103</v>
      </c>
      <c r="B68" s="189">
        <f>(B67/B66)*(B65/B64)*(B63/B62)*(B61/B60)*B59</f>
        <v>5000</v>
      </c>
      <c r="C68" s="289" t="s">
        <v>104</v>
      </c>
      <c r="D68" s="292">
        <f>Sulfamethoxazole!D68</f>
        <v>1042.8399999999999</v>
      </c>
      <c r="E68" s="177">
        <v>1</v>
      </c>
      <c r="F68" s="178">
        <v>2796822</v>
      </c>
      <c r="G68" s="179">
        <f>IF(ISBLANK(F68),"-",(F68/$D$50*$D$47*$B$68)*($B$57/$D$68))</f>
        <v>158.05744880956675</v>
      </c>
      <c r="H68" s="183">
        <f t="shared" si="0"/>
        <v>98.785905505979215</v>
      </c>
    </row>
    <row r="69" spans="1:8" ht="27" customHeight="1" thickBot="1" x14ac:dyDescent="0.45">
      <c r="A69" s="168" t="s">
        <v>105</v>
      </c>
      <c r="B69" s="190">
        <f>(D47*B68)/B56*B57</f>
        <v>1043.8865000000001</v>
      </c>
      <c r="C69" s="290"/>
      <c r="D69" s="293"/>
      <c r="E69" s="181">
        <v>2</v>
      </c>
      <c r="F69" s="135">
        <v>2795381</v>
      </c>
      <c r="G69" s="182">
        <f>IF(ISBLANK(F69),"-",(F69/$D$50*$D$47*$B$68)*($B$57/$D$68))</f>
        <v>157.97601324315079</v>
      </c>
      <c r="H69" s="183">
        <f t="shared" si="0"/>
        <v>98.735008276969239</v>
      </c>
    </row>
    <row r="70" spans="1:8" ht="26.25" customHeight="1" x14ac:dyDescent="0.4">
      <c r="A70" s="296" t="s">
        <v>78</v>
      </c>
      <c r="B70" s="297"/>
      <c r="C70" s="290"/>
      <c r="D70" s="293"/>
      <c r="E70" s="181">
        <v>3</v>
      </c>
      <c r="F70" s="135">
        <v>2788580</v>
      </c>
      <c r="G70" s="182">
        <f>IF(ISBLANK(F70),"-",(F70/$D$50*$D$47*$B$68)*($B$57/$D$68))</f>
        <v>157.59166675654785</v>
      </c>
      <c r="H70" s="183">
        <f t="shared" si="0"/>
        <v>98.494791722842407</v>
      </c>
    </row>
    <row r="71" spans="1:8" ht="27" customHeight="1" thickBot="1" x14ac:dyDescent="0.45">
      <c r="A71" s="298"/>
      <c r="B71" s="299"/>
      <c r="C71" s="295"/>
      <c r="D71" s="294"/>
      <c r="E71" s="185">
        <v>4</v>
      </c>
      <c r="F71" s="186"/>
      <c r="G71" s="187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91" t="s">
        <v>71</v>
      </c>
      <c r="G72" s="192">
        <f>AVERAGE(G60:G71)</f>
        <v>158.02869138921758</v>
      </c>
      <c r="H72" s="193">
        <f>AVERAGE(H60:H71)</f>
        <v>98.767932118260987</v>
      </c>
    </row>
    <row r="73" spans="1:8" ht="26.25" customHeight="1" x14ac:dyDescent="0.4">
      <c r="C73" s="152"/>
      <c r="D73" s="152"/>
      <c r="E73" s="152"/>
      <c r="F73" s="194" t="s">
        <v>84</v>
      </c>
      <c r="G73" s="195">
        <f>STDEV(G60:G71)/G72</f>
        <v>2.8477649841178098E-3</v>
      </c>
      <c r="H73" s="195">
        <f>STDEV(H60:H71)/H72</f>
        <v>2.8477649841178068E-3</v>
      </c>
    </row>
    <row r="74" spans="1:8" ht="27" customHeight="1" thickBot="1" x14ac:dyDescent="0.45">
      <c r="A74" s="152"/>
      <c r="B74" s="152"/>
      <c r="C74" s="152"/>
      <c r="D74" s="152"/>
      <c r="E74" s="154"/>
      <c r="F74" s="196" t="s">
        <v>20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106" t="s">
        <v>106</v>
      </c>
      <c r="B76" s="107" t="s">
        <v>107</v>
      </c>
      <c r="C76" s="277" t="str">
        <f>B26</f>
        <v>Trimethoprim</v>
      </c>
      <c r="D76" s="277"/>
      <c r="E76" s="96" t="s">
        <v>108</v>
      </c>
      <c r="F76" s="96"/>
      <c r="G76" s="198">
        <f>H72</f>
        <v>98.767932118260987</v>
      </c>
      <c r="H76" s="111"/>
    </row>
    <row r="77" spans="1:8" ht="18.75" x14ac:dyDescent="0.3">
      <c r="A77" s="105" t="s">
        <v>109</v>
      </c>
      <c r="B77" s="105" t="s">
        <v>110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279" t="str">
        <f>B26</f>
        <v>Trimethoprim</v>
      </c>
      <c r="C79" s="279"/>
    </row>
    <row r="80" spans="1:8" ht="26.25" customHeight="1" x14ac:dyDescent="0.4">
      <c r="A80" s="107" t="s">
        <v>48</v>
      </c>
      <c r="B80" s="279" t="str">
        <f>B27</f>
        <v>T7-4</v>
      </c>
      <c r="C80" s="279"/>
    </row>
    <row r="81" spans="1:12" ht="27" customHeight="1" thickBot="1" x14ac:dyDescent="0.45">
      <c r="A81" s="107" t="s">
        <v>6</v>
      </c>
      <c r="B81" s="108">
        <f>B28</f>
        <v>99.3</v>
      </c>
    </row>
    <row r="82" spans="1:12" s="59" customFormat="1" ht="27" customHeight="1" thickBot="1" x14ac:dyDescent="0.45">
      <c r="A82" s="107" t="s">
        <v>49</v>
      </c>
      <c r="B82" s="109">
        <v>0</v>
      </c>
      <c r="C82" s="280" t="s">
        <v>50</v>
      </c>
      <c r="D82" s="281"/>
      <c r="E82" s="281"/>
      <c r="F82" s="281"/>
      <c r="G82" s="282"/>
      <c r="I82" s="110"/>
      <c r="J82" s="110"/>
      <c r="K82" s="110"/>
      <c r="L82" s="110"/>
    </row>
    <row r="83" spans="1:12" s="59" customFormat="1" ht="19.5" customHeight="1" thickBot="1" x14ac:dyDescent="0.35">
      <c r="A83" s="107" t="s">
        <v>51</v>
      </c>
      <c r="B83" s="111">
        <f>B81-B82</f>
        <v>99.3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59" customFormat="1" ht="27" customHeight="1" thickBot="1" x14ac:dyDescent="0.45">
      <c r="A84" s="107" t="s">
        <v>52</v>
      </c>
      <c r="B84" s="114">
        <v>1</v>
      </c>
      <c r="C84" s="283" t="s">
        <v>111</v>
      </c>
      <c r="D84" s="284"/>
      <c r="E84" s="284"/>
      <c r="F84" s="284"/>
      <c r="G84" s="284"/>
      <c r="H84" s="285"/>
      <c r="I84" s="110"/>
      <c r="J84" s="110"/>
      <c r="K84" s="110"/>
      <c r="L84" s="110"/>
    </row>
    <row r="85" spans="1:12" s="59" customFormat="1" ht="27" customHeight="1" thickBot="1" x14ac:dyDescent="0.45">
      <c r="A85" s="107" t="s">
        <v>54</v>
      </c>
      <c r="B85" s="114">
        <v>1</v>
      </c>
      <c r="C85" s="283" t="s">
        <v>112</v>
      </c>
      <c r="D85" s="284"/>
      <c r="E85" s="284"/>
      <c r="F85" s="284"/>
      <c r="G85" s="284"/>
      <c r="H85" s="285"/>
      <c r="I85" s="110"/>
      <c r="J85" s="110"/>
      <c r="K85" s="110"/>
      <c r="L85" s="110"/>
    </row>
    <row r="86" spans="1:12" s="59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59" customFormat="1" ht="18.75" x14ac:dyDescent="0.3">
      <c r="A87" s="107" t="s">
        <v>56</v>
      </c>
      <c r="B87" s="119">
        <f>B84/B85</f>
        <v>1</v>
      </c>
      <c r="C87" s="96" t="s">
        <v>57</v>
      </c>
      <c r="D87" s="96"/>
      <c r="E87" s="96"/>
      <c r="F87" s="96"/>
      <c r="G87" s="96"/>
      <c r="I87" s="110"/>
      <c r="J87" s="110"/>
      <c r="K87" s="110"/>
      <c r="L87" s="110"/>
    </row>
    <row r="88" spans="1:12" ht="19.5" customHeight="1" thickBot="1" x14ac:dyDescent="0.35">
      <c r="A88" s="105"/>
      <c r="B88" s="105"/>
    </row>
    <row r="89" spans="1:12" ht="27" customHeight="1" thickBot="1" x14ac:dyDescent="0.45">
      <c r="A89" s="120" t="s">
        <v>58</v>
      </c>
      <c r="B89" s="121">
        <v>25</v>
      </c>
      <c r="D89" s="199" t="s">
        <v>59</v>
      </c>
      <c r="E89" s="200"/>
      <c r="F89" s="286" t="s">
        <v>60</v>
      </c>
      <c r="G89" s="287"/>
    </row>
    <row r="90" spans="1:12" ht="27" customHeight="1" thickBot="1" x14ac:dyDescent="0.45">
      <c r="A90" s="122" t="s">
        <v>61</v>
      </c>
      <c r="B90" s="123">
        <v>4</v>
      </c>
      <c r="C90" s="201" t="s">
        <v>62</v>
      </c>
      <c r="D90" s="125" t="s">
        <v>63</v>
      </c>
      <c r="E90" s="126" t="s">
        <v>64</v>
      </c>
      <c r="F90" s="125" t="s">
        <v>63</v>
      </c>
      <c r="G90" s="202" t="s">
        <v>64</v>
      </c>
      <c r="I90" s="128" t="s">
        <v>65</v>
      </c>
    </row>
    <row r="91" spans="1:12" ht="26.25" customHeight="1" x14ac:dyDescent="0.4">
      <c r="A91" s="122" t="s">
        <v>66</v>
      </c>
      <c r="B91" s="123">
        <v>100</v>
      </c>
      <c r="C91" s="203">
        <v>1</v>
      </c>
      <c r="D91" s="130">
        <v>2841648</v>
      </c>
      <c r="E91" s="131">
        <f>IF(ISBLANK(D91),"-",$D$101/$D$98*D91)</f>
        <v>3123422.5696443538</v>
      </c>
      <c r="F91" s="130">
        <v>2974695</v>
      </c>
      <c r="G91" s="132">
        <f>IF(ISBLANK(F91),"-",$D$101/$F$98*F91)</f>
        <v>3159483.8923883094</v>
      </c>
      <c r="I91" s="133"/>
    </row>
    <row r="92" spans="1:12" ht="26.25" customHeight="1" x14ac:dyDescent="0.4">
      <c r="A92" s="122" t="s">
        <v>67</v>
      </c>
      <c r="B92" s="123">
        <v>1</v>
      </c>
      <c r="C92" s="152">
        <v>2</v>
      </c>
      <c r="D92" s="135">
        <v>2855316</v>
      </c>
      <c r="E92" s="136">
        <f>IF(ISBLANK(D92),"-",$D$101/$D$98*D92)</f>
        <v>3138445.8729112959</v>
      </c>
      <c r="F92" s="135">
        <v>2982040</v>
      </c>
      <c r="G92" s="137">
        <f>IF(ISBLANK(F92),"-",$D$101/$F$98*F92)</f>
        <v>3167285.1658599065</v>
      </c>
      <c r="I92" s="268">
        <f>ABS((F96/D96*D95)-F95)/D95</f>
        <v>1.0807682324765842E-2</v>
      </c>
    </row>
    <row r="93" spans="1:12" ht="26.25" customHeight="1" x14ac:dyDescent="0.4">
      <c r="A93" s="122" t="s">
        <v>68</v>
      </c>
      <c r="B93" s="123">
        <v>1</v>
      </c>
      <c r="C93" s="152">
        <v>3</v>
      </c>
      <c r="D93" s="135">
        <v>2852952</v>
      </c>
      <c r="E93" s="136">
        <f>IF(ISBLANK(D93),"-",$D$101/$D$98*D93)</f>
        <v>3135847.4613717105</v>
      </c>
      <c r="F93" s="135">
        <v>2983741</v>
      </c>
      <c r="G93" s="137">
        <f>IF(ISBLANK(F93),"-",$D$101/$F$98*F93)</f>
        <v>3169091.8324596593</v>
      </c>
      <c r="I93" s="268"/>
    </row>
    <row r="94" spans="1:12" ht="27" customHeight="1" thickBot="1" x14ac:dyDescent="0.45">
      <c r="A94" s="122" t="s">
        <v>69</v>
      </c>
      <c r="B94" s="123">
        <v>1</v>
      </c>
      <c r="C94" s="204">
        <v>4</v>
      </c>
      <c r="D94" s="139"/>
      <c r="E94" s="140" t="str">
        <f>IF(ISBLANK(D94),"-",$D$101/$D$98*D94)</f>
        <v>-</v>
      </c>
      <c r="F94" s="205"/>
      <c r="G94" s="141" t="str">
        <f>IF(ISBLANK(F94),"-",$D$101/$F$98*F94)</f>
        <v>-</v>
      </c>
      <c r="I94" s="142"/>
    </row>
    <row r="95" spans="1:12" ht="27" customHeight="1" thickBot="1" x14ac:dyDescent="0.45">
      <c r="A95" s="122" t="s">
        <v>70</v>
      </c>
      <c r="B95" s="123">
        <v>1</v>
      </c>
      <c r="C95" s="107" t="s">
        <v>71</v>
      </c>
      <c r="D95" s="206">
        <f>AVERAGE(D91:D94)</f>
        <v>2849972</v>
      </c>
      <c r="E95" s="145">
        <f>AVERAGE(E91:E94)</f>
        <v>3132571.9679757864</v>
      </c>
      <c r="F95" s="207">
        <f>AVERAGE(F91:F94)</f>
        <v>2980158.6666666665</v>
      </c>
      <c r="G95" s="208">
        <f>AVERAGE(G91:G94)</f>
        <v>3165286.9635692923</v>
      </c>
    </row>
    <row r="96" spans="1:12" ht="26.25" customHeight="1" x14ac:dyDescent="0.4">
      <c r="A96" s="122" t="s">
        <v>72</v>
      </c>
      <c r="B96" s="108">
        <v>1</v>
      </c>
      <c r="C96" s="209" t="s">
        <v>113</v>
      </c>
      <c r="D96" s="210">
        <v>20.36</v>
      </c>
      <c r="E96" s="96"/>
      <c r="F96" s="149">
        <v>21.07</v>
      </c>
    </row>
    <row r="97" spans="1:10" ht="26.25" customHeight="1" x14ac:dyDescent="0.4">
      <c r="A97" s="122" t="s">
        <v>74</v>
      </c>
      <c r="B97" s="108">
        <v>1</v>
      </c>
      <c r="C97" s="211" t="s">
        <v>114</v>
      </c>
      <c r="D97" s="212">
        <f>D96*$B$87</f>
        <v>20.36</v>
      </c>
      <c r="E97" s="152"/>
      <c r="F97" s="151">
        <f>F96*$B$87</f>
        <v>21.07</v>
      </c>
    </row>
    <row r="98" spans="1:10" ht="19.5" customHeight="1" thickBot="1" x14ac:dyDescent="0.35">
      <c r="A98" s="122" t="s">
        <v>76</v>
      </c>
      <c r="B98" s="152">
        <f>(B97/B96)*(B95/B94)*(B93/B92)*(B91/B90)*B89</f>
        <v>625</v>
      </c>
      <c r="C98" s="211" t="s">
        <v>115</v>
      </c>
      <c r="D98" s="213">
        <f>D97*$B$83/100</f>
        <v>20.217479999999998</v>
      </c>
      <c r="E98" s="154"/>
      <c r="F98" s="153">
        <f>F97*$B$83/100</f>
        <v>20.922509999999999</v>
      </c>
    </row>
    <row r="99" spans="1:10" ht="19.5" customHeight="1" thickBot="1" x14ac:dyDescent="0.35">
      <c r="A99" s="269" t="s">
        <v>78</v>
      </c>
      <c r="B99" s="270"/>
      <c r="C99" s="211" t="s">
        <v>116</v>
      </c>
      <c r="D99" s="214">
        <f>D98/$B$98</f>
        <v>3.2347967999999998E-2</v>
      </c>
      <c r="E99" s="154"/>
      <c r="F99" s="157">
        <f>F98/$B$98</f>
        <v>3.3476015999999997E-2</v>
      </c>
      <c r="H99" s="147"/>
    </row>
    <row r="100" spans="1:10" ht="19.5" customHeight="1" thickBot="1" x14ac:dyDescent="0.35">
      <c r="A100" s="271"/>
      <c r="B100" s="272"/>
      <c r="C100" s="211" t="s">
        <v>80</v>
      </c>
      <c r="D100" s="215">
        <f>$B$56/$B$116</f>
        <v>3.5555555555555556E-2</v>
      </c>
      <c r="F100" s="162"/>
      <c r="G100" s="216"/>
      <c r="H100" s="147"/>
    </row>
    <row r="101" spans="1:10" ht="18.75" x14ac:dyDescent="0.3">
      <c r="C101" s="211" t="s">
        <v>81</v>
      </c>
      <c r="D101" s="212">
        <f>D100*$B$98</f>
        <v>22.222222222222221</v>
      </c>
      <c r="F101" s="162"/>
      <c r="H101" s="147"/>
    </row>
    <row r="102" spans="1:10" ht="19.5" customHeight="1" thickBot="1" x14ac:dyDescent="0.35">
      <c r="C102" s="217" t="s">
        <v>82</v>
      </c>
      <c r="D102" s="218">
        <f>D101/B34</f>
        <v>22.222222222222221</v>
      </c>
      <c r="F102" s="166"/>
      <c r="H102" s="147"/>
      <c r="J102" s="219"/>
    </row>
    <row r="103" spans="1:10" ht="18.75" x14ac:dyDescent="0.3">
      <c r="C103" s="220" t="s">
        <v>117</v>
      </c>
      <c r="D103" s="221">
        <f>AVERAGE(E91:E94,G91:G94)</f>
        <v>3148929.4657725394</v>
      </c>
      <c r="F103" s="166"/>
      <c r="G103" s="216"/>
      <c r="H103" s="147"/>
      <c r="J103" s="222"/>
    </row>
    <row r="104" spans="1:10" ht="18.75" x14ac:dyDescent="0.3">
      <c r="C104" s="194" t="s">
        <v>84</v>
      </c>
      <c r="D104" s="223">
        <f>STDEV(E91:E94,G91:G94)/D103</f>
        <v>6.0027874492597187E-3</v>
      </c>
      <c r="F104" s="166"/>
      <c r="H104" s="147"/>
      <c r="J104" s="222"/>
    </row>
    <row r="105" spans="1:10" ht="19.5" customHeight="1" thickBot="1" x14ac:dyDescent="0.35">
      <c r="C105" s="196" t="s">
        <v>20</v>
      </c>
      <c r="D105" s="224">
        <f>COUNT(E91:E94,G91:G94)</f>
        <v>6</v>
      </c>
      <c r="F105" s="166"/>
      <c r="H105" s="147"/>
      <c r="J105" s="222"/>
    </row>
    <row r="106" spans="1:10" ht="19.5" customHeight="1" thickBot="1" x14ac:dyDescent="0.35">
      <c r="A106" s="170"/>
      <c r="B106" s="170"/>
      <c r="C106" s="170"/>
      <c r="D106" s="170"/>
      <c r="E106" s="170"/>
    </row>
    <row r="107" spans="1:10" ht="27" customHeight="1" thickBot="1" x14ac:dyDescent="0.45">
      <c r="A107" s="120" t="s">
        <v>118</v>
      </c>
      <c r="B107" s="121">
        <v>900</v>
      </c>
      <c r="C107" s="176" t="s">
        <v>119</v>
      </c>
      <c r="D107" s="176" t="s">
        <v>63</v>
      </c>
      <c r="E107" s="176" t="s">
        <v>120</v>
      </c>
      <c r="F107" s="225" t="s">
        <v>121</v>
      </c>
    </row>
    <row r="108" spans="1:10" ht="26.25" customHeight="1" x14ac:dyDescent="0.4">
      <c r="A108" s="122" t="s">
        <v>122</v>
      </c>
      <c r="B108" s="123">
        <v>10</v>
      </c>
      <c r="C108" s="177">
        <v>1</v>
      </c>
      <c r="D108" s="226">
        <v>2714409</v>
      </c>
      <c r="E108" s="227">
        <f t="shared" ref="E108:E113" si="1">IF(ISBLANK(D108),"-",D108/$D$103*$D$100*$B$116)</f>
        <v>137.92161581283631</v>
      </c>
      <c r="F108" s="228">
        <f t="shared" ref="F108:F113" si="2">IF(ISBLANK(D108), "-", (E108/$B$56)*100)</f>
        <v>86.201009883022692</v>
      </c>
    </row>
    <row r="109" spans="1:10" ht="26.25" customHeight="1" x14ac:dyDescent="0.4">
      <c r="A109" s="122" t="s">
        <v>95</v>
      </c>
      <c r="B109" s="123">
        <v>50</v>
      </c>
      <c r="C109" s="181">
        <v>2</v>
      </c>
      <c r="D109" s="229">
        <v>2720191</v>
      </c>
      <c r="E109" s="230">
        <f t="shared" si="1"/>
        <v>138.21540454645373</v>
      </c>
      <c r="F109" s="231">
        <f t="shared" si="2"/>
        <v>86.384627841533586</v>
      </c>
    </row>
    <row r="110" spans="1:10" ht="26.25" customHeight="1" x14ac:dyDescent="0.4">
      <c r="A110" s="122" t="s">
        <v>96</v>
      </c>
      <c r="B110" s="123">
        <v>1</v>
      </c>
      <c r="C110" s="181">
        <v>3</v>
      </c>
      <c r="D110" s="229">
        <v>2714724</v>
      </c>
      <c r="E110" s="230">
        <f t="shared" si="1"/>
        <v>137.93762125231908</v>
      </c>
      <c r="F110" s="231">
        <f t="shared" si="2"/>
        <v>86.211013282699426</v>
      </c>
    </row>
    <row r="111" spans="1:10" ht="26.25" customHeight="1" x14ac:dyDescent="0.4">
      <c r="A111" s="122" t="s">
        <v>97</v>
      </c>
      <c r="B111" s="123">
        <v>1</v>
      </c>
      <c r="C111" s="181">
        <v>4</v>
      </c>
      <c r="D111" s="229">
        <v>2712546</v>
      </c>
      <c r="E111" s="230">
        <f t="shared" si="1"/>
        <v>137.82695507075235</v>
      </c>
      <c r="F111" s="231">
        <f t="shared" si="2"/>
        <v>86.141846919220228</v>
      </c>
    </row>
    <row r="112" spans="1:10" ht="26.25" customHeight="1" x14ac:dyDescent="0.4">
      <c r="A112" s="122" t="s">
        <v>98</v>
      </c>
      <c r="B112" s="123">
        <v>1</v>
      </c>
      <c r="C112" s="181">
        <v>5</v>
      </c>
      <c r="D112" s="229">
        <v>2720291</v>
      </c>
      <c r="E112" s="230">
        <f t="shared" si="1"/>
        <v>138.22048563835304</v>
      </c>
      <c r="F112" s="231">
        <f t="shared" si="2"/>
        <v>86.387803523970646</v>
      </c>
    </row>
    <row r="113" spans="1:10" ht="27" customHeight="1" thickBot="1" x14ac:dyDescent="0.45">
      <c r="A113" s="122" t="s">
        <v>100</v>
      </c>
      <c r="B113" s="123">
        <v>1</v>
      </c>
      <c r="C113" s="185">
        <v>6</v>
      </c>
      <c r="D113" s="232">
        <v>2717037</v>
      </c>
      <c r="E113" s="233">
        <f t="shared" si="1"/>
        <v>138.05514690794985</v>
      </c>
      <c r="F113" s="234">
        <f t="shared" si="2"/>
        <v>86.284466817468655</v>
      </c>
    </row>
    <row r="114" spans="1:10" ht="27" customHeight="1" thickBot="1" x14ac:dyDescent="0.45">
      <c r="A114" s="122" t="s">
        <v>101</v>
      </c>
      <c r="B114" s="123">
        <v>1</v>
      </c>
      <c r="C114" s="235"/>
      <c r="D114" s="152"/>
      <c r="E114" s="96"/>
      <c r="F114" s="231"/>
    </row>
    <row r="115" spans="1:10" ht="26.25" customHeight="1" x14ac:dyDescent="0.4">
      <c r="A115" s="122" t="s">
        <v>102</v>
      </c>
      <c r="B115" s="123">
        <v>1</v>
      </c>
      <c r="C115" s="235"/>
      <c r="D115" s="236" t="s">
        <v>71</v>
      </c>
      <c r="E115" s="237">
        <f>AVERAGE(E108:E113)</f>
        <v>138.02953820477737</v>
      </c>
      <c r="F115" s="238">
        <f>AVERAGE(F108:F113)</f>
        <v>86.268461377985886</v>
      </c>
    </row>
    <row r="116" spans="1:10" ht="27" customHeight="1" thickBot="1" x14ac:dyDescent="0.45">
      <c r="A116" s="122" t="s">
        <v>103</v>
      </c>
      <c r="B116" s="134">
        <f>(B115/B114)*(B113/B112)*(B111/B110)*(B109/B108)*B107</f>
        <v>4500</v>
      </c>
      <c r="C116" s="239"/>
      <c r="D116" s="240" t="s">
        <v>84</v>
      </c>
      <c r="E116" s="195">
        <f>STDEV(E108:E113)/E115</f>
        <v>1.1807018248764561E-3</v>
      </c>
      <c r="F116" s="241">
        <f>STDEV(F108:F113)/F115</f>
        <v>1.1807018248764295E-3</v>
      </c>
      <c r="I116" s="96"/>
    </row>
    <row r="117" spans="1:10" ht="27" customHeight="1" thickBot="1" x14ac:dyDescent="0.45">
      <c r="A117" s="269" t="s">
        <v>78</v>
      </c>
      <c r="B117" s="273"/>
      <c r="C117" s="242"/>
      <c r="D117" s="196" t="s">
        <v>20</v>
      </c>
      <c r="E117" s="243">
        <f>COUNT(E108:E113)</f>
        <v>6</v>
      </c>
      <c r="F117" s="244">
        <f>COUNT(F108:F113)</f>
        <v>6</v>
      </c>
      <c r="I117" s="96"/>
      <c r="J117" s="222"/>
    </row>
    <row r="118" spans="1:10" ht="26.25" customHeight="1" thickBot="1" x14ac:dyDescent="0.35">
      <c r="A118" s="271"/>
      <c r="B118" s="274"/>
      <c r="C118" s="96"/>
      <c r="D118" s="245"/>
      <c r="E118" s="275" t="s">
        <v>123</v>
      </c>
      <c r="F118" s="276"/>
      <c r="G118" s="96"/>
      <c r="H118" s="96"/>
      <c r="I118" s="96"/>
    </row>
    <row r="119" spans="1:10" ht="25.5" customHeight="1" x14ac:dyDescent="0.4">
      <c r="A119" s="246"/>
      <c r="B119" s="118"/>
      <c r="C119" s="96"/>
      <c r="D119" s="240" t="s">
        <v>124</v>
      </c>
      <c r="E119" s="247">
        <f>MIN(E108:E113)</f>
        <v>137.82695507075235</v>
      </c>
      <c r="F119" s="248">
        <f>MIN(F108:F113)</f>
        <v>86.141846919220228</v>
      </c>
      <c r="G119" s="96"/>
      <c r="H119" s="96"/>
      <c r="I119" s="96"/>
    </row>
    <row r="120" spans="1:10" ht="24" customHeight="1" thickBot="1" x14ac:dyDescent="0.45">
      <c r="A120" s="246"/>
      <c r="B120" s="118"/>
      <c r="C120" s="96"/>
      <c r="D120" s="163" t="s">
        <v>125</v>
      </c>
      <c r="E120" s="249">
        <f>MAX(E108:E113)</f>
        <v>138.22048563835304</v>
      </c>
      <c r="F120" s="250">
        <f>MAX(F108:F113)</f>
        <v>86.387803523970646</v>
      </c>
      <c r="G120" s="96"/>
      <c r="H120" s="96"/>
      <c r="I120" s="96"/>
    </row>
    <row r="121" spans="1:10" ht="27" customHeight="1" x14ac:dyDescent="0.3">
      <c r="A121" s="246"/>
      <c r="B121" s="118"/>
      <c r="C121" s="96"/>
      <c r="D121" s="96"/>
      <c r="E121" s="96"/>
      <c r="F121" s="152"/>
      <c r="G121" s="96"/>
      <c r="H121" s="96"/>
      <c r="I121" s="96"/>
    </row>
    <row r="122" spans="1:10" ht="25.5" customHeight="1" x14ac:dyDescent="0.3">
      <c r="A122" s="246"/>
      <c r="B122" s="118"/>
      <c r="C122" s="96"/>
      <c r="D122" s="96"/>
      <c r="E122" s="96"/>
      <c r="F122" s="152"/>
      <c r="G122" s="96"/>
      <c r="H122" s="96"/>
      <c r="I122" s="96"/>
    </row>
    <row r="123" spans="1:10" ht="18.75" x14ac:dyDescent="0.3">
      <c r="A123" s="246"/>
      <c r="B123" s="118"/>
      <c r="C123" s="96"/>
      <c r="D123" s="96"/>
      <c r="E123" s="96"/>
      <c r="F123" s="152"/>
      <c r="G123" s="96"/>
      <c r="H123" s="96"/>
      <c r="I123" s="96"/>
    </row>
    <row r="124" spans="1:10" ht="45.75" customHeight="1" x14ac:dyDescent="0.65">
      <c r="A124" s="106" t="s">
        <v>106</v>
      </c>
      <c r="B124" s="107" t="s">
        <v>126</v>
      </c>
      <c r="C124" s="277" t="str">
        <f>B26</f>
        <v>Trimethoprim</v>
      </c>
      <c r="D124" s="277"/>
      <c r="E124" s="96" t="s">
        <v>127</v>
      </c>
      <c r="F124" s="96"/>
      <c r="G124" s="251">
        <f>F115</f>
        <v>86.268461377985886</v>
      </c>
      <c r="H124" s="96"/>
      <c r="I124" s="96"/>
    </row>
    <row r="125" spans="1:10" ht="45.75" customHeight="1" x14ac:dyDescent="0.65">
      <c r="A125" s="106"/>
      <c r="B125" s="107" t="s">
        <v>128</v>
      </c>
      <c r="C125" s="107" t="s">
        <v>129</v>
      </c>
      <c r="D125" s="251">
        <f>MIN(F108:F113)</f>
        <v>86.141846919220228</v>
      </c>
      <c r="E125" s="107" t="s">
        <v>130</v>
      </c>
      <c r="F125" s="251">
        <f>MAX(F108:F113)</f>
        <v>86.387803523970646</v>
      </c>
      <c r="G125" s="252"/>
      <c r="H125" s="96"/>
      <c r="I125" s="96"/>
    </row>
    <row r="126" spans="1:10" ht="19.5" customHeight="1" thickBot="1" x14ac:dyDescent="0.35">
      <c r="A126" s="253"/>
      <c r="B126" s="253"/>
      <c r="C126" s="254"/>
      <c r="D126" s="254"/>
      <c r="E126" s="254"/>
      <c r="F126" s="254"/>
      <c r="G126" s="254"/>
      <c r="H126" s="254"/>
    </row>
    <row r="127" spans="1:10" ht="18.75" x14ac:dyDescent="0.3">
      <c r="B127" s="278" t="s">
        <v>26</v>
      </c>
      <c r="C127" s="278"/>
      <c r="E127" s="201" t="s">
        <v>27</v>
      </c>
      <c r="F127" s="255"/>
      <c r="G127" s="278" t="s">
        <v>28</v>
      </c>
      <c r="H127" s="278"/>
    </row>
    <row r="128" spans="1:10" ht="69.95" customHeight="1" x14ac:dyDescent="0.3">
      <c r="A128" s="106" t="s">
        <v>29</v>
      </c>
      <c r="B128" s="256"/>
      <c r="C128" s="256"/>
      <c r="E128" s="256"/>
      <c r="F128" s="96"/>
      <c r="G128" s="256"/>
      <c r="H128" s="256"/>
    </row>
    <row r="129" spans="1:9" ht="69.95" customHeight="1" x14ac:dyDescent="0.3">
      <c r="A129" s="106" t="s">
        <v>30</v>
      </c>
      <c r="B129" s="257"/>
      <c r="C129" s="257"/>
      <c r="E129" s="257"/>
      <c r="F129" s="96"/>
      <c r="G129" s="258"/>
      <c r="H129" s="258"/>
    </row>
    <row r="130" spans="1:9" ht="18.75" x14ac:dyDescent="0.3">
      <c r="A130" s="152"/>
      <c r="B130" s="152"/>
      <c r="C130" s="152"/>
      <c r="D130" s="152"/>
      <c r="E130" s="152"/>
      <c r="F130" s="154"/>
      <c r="G130" s="152"/>
      <c r="H130" s="152"/>
      <c r="I130" s="96"/>
    </row>
    <row r="131" spans="1:9" ht="18.75" x14ac:dyDescent="0.3">
      <c r="A131" s="152"/>
      <c r="B131" s="152"/>
      <c r="C131" s="152"/>
      <c r="D131" s="152"/>
      <c r="E131" s="152"/>
      <c r="F131" s="154"/>
      <c r="G131" s="152"/>
      <c r="H131" s="152"/>
      <c r="I131" s="96"/>
    </row>
    <row r="132" spans="1:9" ht="18.75" x14ac:dyDescent="0.3">
      <c r="A132" s="152"/>
      <c r="B132" s="152"/>
      <c r="C132" s="152"/>
      <c r="D132" s="152"/>
      <c r="E132" s="152"/>
      <c r="F132" s="154"/>
      <c r="G132" s="152"/>
      <c r="H132" s="152"/>
      <c r="I132" s="96"/>
    </row>
    <row r="133" spans="1:9" ht="18.75" x14ac:dyDescent="0.3">
      <c r="A133" s="152"/>
      <c r="B133" s="152"/>
      <c r="C133" s="152"/>
      <c r="D133" s="152"/>
      <c r="E133" s="152"/>
      <c r="F133" s="154"/>
      <c r="G133" s="152"/>
      <c r="H133" s="152"/>
      <c r="I133" s="96"/>
    </row>
    <row r="134" spans="1:9" ht="18.75" x14ac:dyDescent="0.3">
      <c r="A134" s="152"/>
      <c r="B134" s="152"/>
      <c r="C134" s="152"/>
      <c r="D134" s="152"/>
      <c r="E134" s="152"/>
      <c r="F134" s="154"/>
      <c r="G134" s="152"/>
      <c r="H134" s="152"/>
      <c r="I134" s="96"/>
    </row>
    <row r="135" spans="1:9" ht="18.75" x14ac:dyDescent="0.3">
      <c r="A135" s="152"/>
      <c r="B135" s="152"/>
      <c r="C135" s="152"/>
      <c r="D135" s="152"/>
      <c r="E135" s="152"/>
      <c r="F135" s="154"/>
      <c r="G135" s="152"/>
      <c r="H135" s="152"/>
      <c r="I135" s="96"/>
    </row>
    <row r="136" spans="1:9" ht="18.75" x14ac:dyDescent="0.3">
      <c r="A136" s="152"/>
      <c r="B136" s="152"/>
      <c r="C136" s="152"/>
      <c r="D136" s="152"/>
      <c r="E136" s="152"/>
      <c r="F136" s="154"/>
      <c r="G136" s="152"/>
      <c r="H136" s="152"/>
      <c r="I136" s="96"/>
    </row>
    <row r="137" spans="1:9" ht="18.75" x14ac:dyDescent="0.3">
      <c r="A137" s="152"/>
      <c r="B137" s="152"/>
      <c r="C137" s="152"/>
      <c r="D137" s="152"/>
      <c r="E137" s="152"/>
      <c r="F137" s="154"/>
      <c r="G137" s="152"/>
      <c r="H137" s="152"/>
      <c r="I137" s="96"/>
    </row>
    <row r="138" spans="1:9" ht="18.75" x14ac:dyDescent="0.3">
      <c r="A138" s="152"/>
      <c r="B138" s="152"/>
      <c r="C138" s="152"/>
      <c r="D138" s="152"/>
      <c r="E138" s="152"/>
      <c r="F138" s="154"/>
      <c r="G138" s="152"/>
      <c r="H138" s="152"/>
      <c r="I138" s="96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8" workbookViewId="0">
      <selection activeCell="C51" sqref="C51"/>
    </sheetView>
  </sheetViews>
  <sheetFormatPr defaultRowHeight="13.5" x14ac:dyDescent="0.25"/>
  <cols>
    <col min="1" max="1" width="25.710937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9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64" t="s">
        <v>0</v>
      </c>
      <c r="B15" s="264"/>
      <c r="C15" s="264"/>
      <c r="D15" s="264"/>
      <c r="E15" s="26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136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99.3</v>
      </c>
      <c r="C19" s="55"/>
      <c r="D19" s="55"/>
      <c r="E19" s="55"/>
    </row>
    <row r="20" spans="1:5" ht="16.5" customHeight="1" x14ac:dyDescent="0.3">
      <c r="A20" s="53" t="s">
        <v>8</v>
      </c>
      <c r="B20" s="57">
        <v>20.36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B20/25*4/100</f>
        <v>3.2576000000000001E-2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2">
        <v>1</v>
      </c>
      <c r="B24" s="63">
        <v>2835304</v>
      </c>
      <c r="C24" s="319">
        <v>5841.8</v>
      </c>
      <c r="D24" s="64">
        <v>1.3</v>
      </c>
      <c r="E24" s="259">
        <v>5.6</v>
      </c>
    </row>
    <row r="25" spans="1:5" ht="16.5" customHeight="1" x14ac:dyDescent="0.3">
      <c r="A25" s="62">
        <v>2</v>
      </c>
      <c r="B25" s="63">
        <v>2847130</v>
      </c>
      <c r="C25" s="319">
        <v>5976</v>
      </c>
      <c r="D25" s="64">
        <v>1.2</v>
      </c>
      <c r="E25" s="64">
        <v>5.6</v>
      </c>
    </row>
    <row r="26" spans="1:5" ht="16.5" customHeight="1" x14ac:dyDescent="0.3">
      <c r="A26" s="62">
        <v>3</v>
      </c>
      <c r="B26" s="63">
        <v>2847723</v>
      </c>
      <c r="C26" s="319">
        <v>6096.6</v>
      </c>
      <c r="D26" s="64">
        <v>1.2</v>
      </c>
      <c r="E26" s="64">
        <v>5.6</v>
      </c>
    </row>
    <row r="27" spans="1:5" ht="16.5" customHeight="1" x14ac:dyDescent="0.3">
      <c r="A27" s="62">
        <v>4</v>
      </c>
      <c r="B27" s="63">
        <v>2852722</v>
      </c>
      <c r="C27" s="319">
        <v>6171</v>
      </c>
      <c r="D27" s="64">
        <v>1.2</v>
      </c>
      <c r="E27" s="64">
        <v>5.6</v>
      </c>
    </row>
    <row r="28" spans="1:5" ht="16.5" customHeight="1" x14ac:dyDescent="0.3">
      <c r="A28" s="62">
        <v>5</v>
      </c>
      <c r="B28" s="63">
        <v>2845871</v>
      </c>
      <c r="C28" s="319">
        <v>6257.2</v>
      </c>
      <c r="D28" s="64">
        <v>1.2</v>
      </c>
      <c r="E28" s="64">
        <v>5.6</v>
      </c>
    </row>
    <row r="29" spans="1:5" ht="16.5" customHeight="1" x14ac:dyDescent="0.3">
      <c r="A29" s="62">
        <v>6</v>
      </c>
      <c r="B29" s="67">
        <v>2854565</v>
      </c>
      <c r="C29" s="320">
        <v>6351.1</v>
      </c>
      <c r="D29" s="68">
        <v>1.2</v>
      </c>
      <c r="E29" s="68">
        <v>5.6</v>
      </c>
    </row>
    <row r="30" spans="1:5" ht="16.5" customHeight="1" x14ac:dyDescent="0.3">
      <c r="A30" s="70" t="s">
        <v>18</v>
      </c>
      <c r="B30" s="71">
        <f>AVERAGE(B24:B29)</f>
        <v>2847219.1666666665</v>
      </c>
      <c r="C30" s="321">
        <f>AVERAGE(C24:C29)</f>
        <v>6115.6166666666677</v>
      </c>
      <c r="D30" s="73">
        <f>AVERAGE(D24:D29)</f>
        <v>1.2166666666666668</v>
      </c>
      <c r="E30" s="73">
        <f>AVERAGE(E24:E29)</f>
        <v>5.6000000000000005</v>
      </c>
    </row>
    <row r="31" spans="1:5" ht="16.5" customHeight="1" x14ac:dyDescent="0.3">
      <c r="A31" s="75" t="s">
        <v>19</v>
      </c>
      <c r="B31" s="76">
        <f>(STDEV(B24:B29)/B30)</f>
        <v>2.3732330522152592E-3</v>
      </c>
      <c r="C31" s="77"/>
      <c r="D31" s="77"/>
      <c r="E31" s="260"/>
    </row>
    <row r="32" spans="1:5" s="49" customFormat="1" ht="16.5" customHeight="1" x14ac:dyDescent="0.3">
      <c r="A32" s="80" t="s">
        <v>20</v>
      </c>
      <c r="B32" s="81">
        <f>COUNT(B24:B29)</f>
        <v>6</v>
      </c>
      <c r="C32" s="82"/>
      <c r="D32" s="83"/>
      <c r="E32" s="26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5" t="s">
        <v>22</v>
      </c>
      <c r="C34" s="86"/>
      <c r="D34" s="86"/>
      <c r="E34" s="86"/>
    </row>
    <row r="35" spans="1:5" ht="16.5" customHeight="1" x14ac:dyDescent="0.3">
      <c r="A35" s="56"/>
      <c r="B35" s="85" t="s">
        <v>23</v>
      </c>
      <c r="C35" s="86"/>
      <c r="D35" s="86"/>
      <c r="E35" s="86"/>
    </row>
    <row r="36" spans="1:5" ht="16.5" customHeight="1" x14ac:dyDescent="0.3">
      <c r="A36" s="56"/>
      <c r="B36" s="85" t="s">
        <v>24</v>
      </c>
      <c r="C36" s="86"/>
      <c r="D36" s="86"/>
      <c r="E36" s="86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136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99.3</v>
      </c>
      <c r="C40" s="55"/>
      <c r="D40" s="55"/>
      <c r="E40" s="55"/>
    </row>
    <row r="41" spans="1:5" ht="16.5" customHeight="1" x14ac:dyDescent="0.3">
      <c r="A41" s="53" t="s">
        <v>8</v>
      </c>
      <c r="B41" s="57">
        <v>20.36</v>
      </c>
      <c r="C41" s="55"/>
      <c r="D41" s="55"/>
      <c r="E41" s="55"/>
    </row>
    <row r="42" spans="1:5" ht="16.5" customHeight="1" x14ac:dyDescent="0.3">
      <c r="A42" s="53" t="s">
        <v>10</v>
      </c>
      <c r="B42" s="58">
        <v>3.2576000000000001E-2</v>
      </c>
      <c r="C42" s="55"/>
      <c r="D42" s="55"/>
      <c r="E42" s="55"/>
    </row>
    <row r="43" spans="1:5" ht="15.75" customHeight="1" x14ac:dyDescent="0.25">
      <c r="A43" s="55"/>
      <c r="B43" s="55" t="s">
        <v>132</v>
      </c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2">
        <v>1</v>
      </c>
      <c r="B45" s="63">
        <v>2835304</v>
      </c>
      <c r="C45" s="319">
        <v>5841.8</v>
      </c>
      <c r="D45" s="64">
        <v>1.3</v>
      </c>
      <c r="E45" s="259">
        <v>5.6</v>
      </c>
    </row>
    <row r="46" spans="1:5" ht="16.5" customHeight="1" x14ac:dyDescent="0.3">
      <c r="A46" s="62">
        <v>2</v>
      </c>
      <c r="B46" s="63">
        <v>2847130</v>
      </c>
      <c r="C46" s="319">
        <v>5976</v>
      </c>
      <c r="D46" s="64">
        <v>1.2</v>
      </c>
      <c r="E46" s="64">
        <v>5.6</v>
      </c>
    </row>
    <row r="47" spans="1:5" ht="16.5" customHeight="1" x14ac:dyDescent="0.3">
      <c r="A47" s="62">
        <v>3</v>
      </c>
      <c r="B47" s="63">
        <v>2847723</v>
      </c>
      <c r="C47" s="319">
        <v>6096.6</v>
      </c>
      <c r="D47" s="64">
        <v>1.2</v>
      </c>
      <c r="E47" s="64">
        <v>5.6</v>
      </c>
    </row>
    <row r="48" spans="1:5" ht="16.5" customHeight="1" x14ac:dyDescent="0.3">
      <c r="A48" s="62">
        <v>4</v>
      </c>
      <c r="B48" s="63">
        <v>2852722</v>
      </c>
      <c r="C48" s="319">
        <v>6171</v>
      </c>
      <c r="D48" s="64">
        <v>1.2</v>
      </c>
      <c r="E48" s="64">
        <v>5.6</v>
      </c>
    </row>
    <row r="49" spans="1:7" ht="16.5" customHeight="1" x14ac:dyDescent="0.3">
      <c r="A49" s="62">
        <v>5</v>
      </c>
      <c r="B49" s="63">
        <v>2845871</v>
      </c>
      <c r="C49" s="319">
        <v>6257.2</v>
      </c>
      <c r="D49" s="64">
        <v>1.2</v>
      </c>
      <c r="E49" s="64">
        <v>5.6</v>
      </c>
    </row>
    <row r="50" spans="1:7" ht="16.5" customHeight="1" x14ac:dyDescent="0.3">
      <c r="A50" s="62">
        <v>6</v>
      </c>
      <c r="B50" s="67">
        <v>2854565</v>
      </c>
      <c r="C50" s="320">
        <v>6351.1</v>
      </c>
      <c r="D50" s="68">
        <v>1.2</v>
      </c>
      <c r="E50" s="68">
        <v>5.6</v>
      </c>
    </row>
    <row r="51" spans="1:7" ht="16.5" customHeight="1" x14ac:dyDescent="0.3">
      <c r="A51" s="70" t="s">
        <v>18</v>
      </c>
      <c r="B51" s="71">
        <f>AVERAGE(B45:B50)</f>
        <v>2847219.1666666665</v>
      </c>
      <c r="C51" s="321">
        <f>AVERAGE(C45:C50)</f>
        <v>6115.6166666666677</v>
      </c>
      <c r="D51" s="73">
        <f>AVERAGE(D45:D50)</f>
        <v>1.2166666666666668</v>
      </c>
      <c r="E51" s="73">
        <f>AVERAGE(E45:E50)</f>
        <v>5.6000000000000005</v>
      </c>
    </row>
    <row r="52" spans="1:7" ht="16.5" customHeight="1" x14ac:dyDescent="0.3">
      <c r="A52" s="75" t="s">
        <v>19</v>
      </c>
      <c r="B52" s="76">
        <f>(STDEV(B45:B50)/B51)</f>
        <v>2.3732330522152592E-3</v>
      </c>
      <c r="C52" s="77"/>
      <c r="D52" s="77"/>
      <c r="E52" s="260"/>
    </row>
    <row r="53" spans="1:7" s="49" customFormat="1" ht="16.5" customHeight="1" x14ac:dyDescent="0.3">
      <c r="A53" s="80" t="s">
        <v>20</v>
      </c>
      <c r="B53" s="81">
        <f>COUNT(B45:B50)</f>
        <v>6</v>
      </c>
      <c r="C53" s="82"/>
      <c r="D53" s="83"/>
      <c r="E53" s="26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5" t="s">
        <v>22</v>
      </c>
      <c r="C55" s="86"/>
      <c r="D55" s="86"/>
      <c r="E55" s="86"/>
    </row>
    <row r="56" spans="1:7" ht="16.5" customHeight="1" x14ac:dyDescent="0.3">
      <c r="A56" s="56"/>
      <c r="B56" s="85" t="s">
        <v>23</v>
      </c>
      <c r="C56" s="86"/>
      <c r="D56" s="86"/>
      <c r="E56" s="86"/>
    </row>
    <row r="57" spans="1:7" ht="16.5" customHeight="1" x14ac:dyDescent="0.3">
      <c r="A57" s="56"/>
      <c r="B57" s="85" t="s">
        <v>24</v>
      </c>
      <c r="C57" s="86"/>
      <c r="D57" s="86"/>
      <c r="E57" s="86"/>
    </row>
    <row r="58" spans="1:7" ht="14.25" customHeight="1" thickBot="1" x14ac:dyDescent="0.35">
      <c r="A58" s="88"/>
      <c r="B58" s="262"/>
      <c r="D58" s="263"/>
      <c r="F58" s="89"/>
      <c r="G58" s="89"/>
    </row>
    <row r="59" spans="1:7" ht="15" customHeight="1" x14ac:dyDescent="0.3">
      <c r="B59" s="267" t="s">
        <v>26</v>
      </c>
      <c r="C59" s="267"/>
      <c r="E59" s="90" t="s">
        <v>27</v>
      </c>
      <c r="F59" s="91"/>
      <c r="G59" s="90" t="s">
        <v>28</v>
      </c>
    </row>
    <row r="60" spans="1:7" ht="15" customHeight="1" x14ac:dyDescent="0.3">
      <c r="A60" s="92" t="s">
        <v>29</v>
      </c>
      <c r="B60" s="93"/>
      <c r="C60" s="93"/>
      <c r="E60" s="93"/>
      <c r="G60" s="93"/>
    </row>
    <row r="61" spans="1:7" ht="15" customHeight="1" x14ac:dyDescent="0.3">
      <c r="A61" s="92" t="s">
        <v>30</v>
      </c>
      <c r="B61" s="94"/>
      <c r="C61" s="94"/>
      <c r="E61" s="94"/>
      <c r="G61" s="9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fitToHeight="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6" sqref="D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2" t="s">
        <v>31</v>
      </c>
      <c r="B11" s="313"/>
      <c r="C11" s="313"/>
      <c r="D11" s="313"/>
      <c r="E11" s="313"/>
      <c r="F11" s="314"/>
      <c r="G11" s="41"/>
    </row>
    <row r="12" spans="1:7" ht="16.5" customHeight="1" x14ac:dyDescent="0.3">
      <c r="A12" s="311" t="s">
        <v>32</v>
      </c>
      <c r="B12" s="311"/>
      <c r="C12" s="311"/>
      <c r="D12" s="311"/>
      <c r="E12" s="311"/>
      <c r="F12" s="311"/>
      <c r="G12" s="40"/>
    </row>
    <row r="14" spans="1:7" ht="16.5" customHeight="1" x14ac:dyDescent="0.3">
      <c r="A14" s="316" t="s">
        <v>33</v>
      </c>
      <c r="B14" s="316"/>
      <c r="C14" s="10" t="s">
        <v>5</v>
      </c>
    </row>
    <row r="15" spans="1:7" ht="16.5" customHeight="1" x14ac:dyDescent="0.3">
      <c r="A15" s="316" t="s">
        <v>34</v>
      </c>
      <c r="B15" s="316"/>
      <c r="C15" s="10" t="s">
        <v>7</v>
      </c>
    </row>
    <row r="16" spans="1:7" ht="16.5" customHeight="1" x14ac:dyDescent="0.3">
      <c r="A16" s="316" t="s">
        <v>35</v>
      </c>
      <c r="B16" s="316"/>
      <c r="C16" s="10" t="s">
        <v>9</v>
      </c>
    </row>
    <row r="17" spans="1:5" ht="16.5" customHeight="1" x14ac:dyDescent="0.3">
      <c r="A17" s="316" t="s">
        <v>36</v>
      </c>
      <c r="B17" s="316"/>
      <c r="C17" s="10" t="s">
        <v>11</v>
      </c>
    </row>
    <row r="18" spans="1:5" ht="16.5" customHeight="1" x14ac:dyDescent="0.3">
      <c r="A18" s="316" t="s">
        <v>37</v>
      </c>
      <c r="B18" s="316"/>
      <c r="C18" s="47" t="s">
        <v>12</v>
      </c>
    </row>
    <row r="19" spans="1:5" ht="16.5" customHeight="1" x14ac:dyDescent="0.3">
      <c r="A19" s="316" t="s">
        <v>38</v>
      </c>
      <c r="B19" s="316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11" t="s">
        <v>1</v>
      </c>
      <c r="B21" s="311"/>
      <c r="C21" s="9" t="s">
        <v>39</v>
      </c>
      <c r="D21" s="16"/>
    </row>
    <row r="22" spans="1:5" ht="15.75" customHeight="1" x14ac:dyDescent="0.3">
      <c r="A22" s="315"/>
      <c r="B22" s="315"/>
      <c r="C22" s="7"/>
      <c r="D22" s="315"/>
      <c r="E22" s="315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1039.58</v>
      </c>
      <c r="D24" s="37">
        <f t="shared" ref="D24:D43" si="0">(C24-$C$46)/$C$46</f>
        <v>-4.1254485042197036E-3</v>
      </c>
      <c r="E24" s="3"/>
    </row>
    <row r="25" spans="1:5" ht="15.75" customHeight="1" x14ac:dyDescent="0.3">
      <c r="C25" s="45">
        <v>1035.49</v>
      </c>
      <c r="D25" s="38">
        <f t="shared" si="0"/>
        <v>-8.0434989819296067E-3</v>
      </c>
      <c r="E25" s="3"/>
    </row>
    <row r="26" spans="1:5" ht="15.75" customHeight="1" x14ac:dyDescent="0.3">
      <c r="C26" s="45">
        <v>1045.1400000000001</v>
      </c>
      <c r="D26" s="38">
        <f t="shared" si="0"/>
        <v>1.2008010449412181E-3</v>
      </c>
      <c r="E26" s="3"/>
    </row>
    <row r="27" spans="1:5" ht="15.75" customHeight="1" x14ac:dyDescent="0.3">
      <c r="C27" s="45">
        <v>1027.0999999999999</v>
      </c>
      <c r="D27" s="38">
        <f t="shared" si="0"/>
        <v>-1.6080771233271202E-2</v>
      </c>
      <c r="E27" s="3"/>
    </row>
    <row r="28" spans="1:5" ht="15.75" customHeight="1" x14ac:dyDescent="0.3">
      <c r="C28" s="45">
        <v>1051.3499999999999</v>
      </c>
      <c r="D28" s="38">
        <f t="shared" si="0"/>
        <v>7.1497236529065563E-3</v>
      </c>
      <c r="E28" s="3"/>
    </row>
    <row r="29" spans="1:5" ht="15.75" customHeight="1" x14ac:dyDescent="0.3">
      <c r="C29" s="45">
        <v>1044.9100000000001</v>
      </c>
      <c r="D29" s="38">
        <f t="shared" si="0"/>
        <v>9.8047057797951472E-4</v>
      </c>
      <c r="E29" s="3"/>
    </row>
    <row r="30" spans="1:5" ht="15.75" customHeight="1" x14ac:dyDescent="0.3">
      <c r="C30" s="45">
        <v>1035.8699999999999</v>
      </c>
      <c r="D30" s="38">
        <f t="shared" si="0"/>
        <v>-7.6794747321669334E-3</v>
      </c>
      <c r="E30" s="3"/>
    </row>
    <row r="31" spans="1:5" ht="15.75" customHeight="1" x14ac:dyDescent="0.3">
      <c r="C31" s="45">
        <v>1039.79</v>
      </c>
      <c r="D31" s="38">
        <f t="shared" si="0"/>
        <v>-3.9242772082981291E-3</v>
      </c>
      <c r="E31" s="3"/>
    </row>
    <row r="32" spans="1:5" ht="15.75" customHeight="1" x14ac:dyDescent="0.3">
      <c r="C32" s="45">
        <v>1040.9100000000001</v>
      </c>
      <c r="D32" s="38">
        <f t="shared" si="0"/>
        <v>-2.8513636300498062E-3</v>
      </c>
      <c r="E32" s="3"/>
    </row>
    <row r="33" spans="1:7" ht="15.75" customHeight="1" x14ac:dyDescent="0.3">
      <c r="C33" s="45">
        <v>1039.93</v>
      </c>
      <c r="D33" s="38">
        <f t="shared" si="0"/>
        <v>-3.7901630110170072E-3</v>
      </c>
      <c r="E33" s="3"/>
    </row>
    <row r="34" spans="1:7" ht="15.75" customHeight="1" x14ac:dyDescent="0.3">
      <c r="C34" s="45">
        <v>1048.3499999999999</v>
      </c>
      <c r="D34" s="38">
        <f t="shared" si="0"/>
        <v>4.2758479968845655E-3</v>
      </c>
      <c r="E34" s="3"/>
    </row>
    <row r="35" spans="1:7" ht="15.75" customHeight="1" x14ac:dyDescent="0.3">
      <c r="C35" s="45">
        <v>1041.1600000000001</v>
      </c>
      <c r="D35" s="38">
        <f t="shared" si="0"/>
        <v>-2.6118739920479735E-3</v>
      </c>
      <c r="E35" s="3"/>
    </row>
    <row r="36" spans="1:7" ht="15.75" customHeight="1" x14ac:dyDescent="0.3">
      <c r="C36" s="45">
        <v>1042.94</v>
      </c>
      <c r="D36" s="38">
        <f t="shared" si="0"/>
        <v>-9.0670776947495205E-4</v>
      </c>
      <c r="E36" s="3"/>
    </row>
    <row r="37" spans="1:7" ht="15.75" customHeight="1" x14ac:dyDescent="0.3">
      <c r="C37" s="45">
        <v>1062.6600000000001</v>
      </c>
      <c r="D37" s="38">
        <f t="shared" si="0"/>
        <v>1.7984234876109628E-2</v>
      </c>
      <c r="E37" s="3"/>
    </row>
    <row r="38" spans="1:7" ht="15.75" customHeight="1" x14ac:dyDescent="0.3">
      <c r="C38" s="45">
        <v>1055.32</v>
      </c>
      <c r="D38" s="38">
        <f t="shared" si="0"/>
        <v>1.0952819104375682E-2</v>
      </c>
      <c r="E38" s="3"/>
    </row>
    <row r="39" spans="1:7" ht="15.75" customHeight="1" x14ac:dyDescent="0.3">
      <c r="C39" s="45">
        <v>1029.57</v>
      </c>
      <c r="D39" s="38">
        <f t="shared" si="0"/>
        <v>-1.371461360981307E-2</v>
      </c>
      <c r="E39" s="3"/>
    </row>
    <row r="40" spans="1:7" ht="15.75" customHeight="1" x14ac:dyDescent="0.3">
      <c r="C40" s="45">
        <v>1047.31</v>
      </c>
      <c r="D40" s="38">
        <f t="shared" si="0"/>
        <v>3.2795711027969764E-3</v>
      </c>
      <c r="E40" s="3"/>
    </row>
    <row r="41" spans="1:7" ht="15.75" customHeight="1" x14ac:dyDescent="0.3">
      <c r="C41" s="45">
        <v>1048.51</v>
      </c>
      <c r="D41" s="38">
        <f t="shared" si="0"/>
        <v>4.4291213652058164E-3</v>
      </c>
      <c r="E41" s="3"/>
    </row>
    <row r="42" spans="1:7" ht="15.75" customHeight="1" x14ac:dyDescent="0.3">
      <c r="C42" s="45">
        <v>1046.2</v>
      </c>
      <c r="D42" s="38">
        <f t="shared" si="0"/>
        <v>2.216237110068936E-3</v>
      </c>
      <c r="E42" s="3"/>
    </row>
    <row r="43" spans="1:7" ht="16.5" customHeight="1" x14ac:dyDescent="0.3">
      <c r="C43" s="46">
        <v>1055.6400000000001</v>
      </c>
      <c r="D43" s="39">
        <f t="shared" si="0"/>
        <v>1.1259365841018186E-2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20877.73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1043.8865000000001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309">
        <f>C46</f>
        <v>1043.8865000000001</v>
      </c>
      <c r="C49" s="43">
        <f>-IF(C46&lt;=80,10%,IF(C46&lt;250,7.5%,5%))</f>
        <v>-0.05</v>
      </c>
      <c r="D49" s="31">
        <f>IF(C46&lt;=80,C46*0.9,IF(C46&lt;250,C46*0.925,C46*0.95))</f>
        <v>991.69217500000002</v>
      </c>
    </row>
    <row r="50" spans="1:6" ht="17.25" customHeight="1" x14ac:dyDescent="0.3">
      <c r="B50" s="310"/>
      <c r="C50" s="44">
        <f>IF(C46&lt;=80, 10%, IF(C46&lt;250, 7.5%, 5%))</f>
        <v>0.05</v>
      </c>
      <c r="D50" s="31">
        <f>IF(C46&lt;=80, C46*1.1, IF(C46&lt;250, C46*1.075, C46*1.05))</f>
        <v>1096.0808250000002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sulfamethoxazole sst</vt:lpstr>
      <vt:lpstr>Sulfamethoxazole</vt:lpstr>
      <vt:lpstr>Trimethoprim</vt:lpstr>
      <vt:lpstr>Trimethoprim sst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2017-08-21T09:02:41Z</cp:lastPrinted>
  <dcterms:created xsi:type="dcterms:W3CDTF">2005-07-05T10:19:27Z</dcterms:created>
  <dcterms:modified xsi:type="dcterms:W3CDTF">2017-08-21T11:41:54Z</dcterms:modified>
</cp:coreProperties>
</file>