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Sulfamethoxazole - Trimethoprim\"/>
    </mc:Choice>
  </mc:AlternateContent>
  <bookViews>
    <workbookView xWindow="0" yWindow="0" windowWidth="20460" windowHeight="7575" activeTab="3"/>
  </bookViews>
  <sheets>
    <sheet name="Uniformity (2)" sheetId="9" r:id="rId1"/>
    <sheet name="sulfamethoxazole sst" sheetId="5" r:id="rId2"/>
    <sheet name="Sulfamethoxazole" sheetId="6" r:id="rId3"/>
    <sheet name="Trimethoprim" sheetId="7" r:id="rId4"/>
    <sheet name="Trimethoprim sst" sheetId="8" r:id="rId5"/>
  </sheets>
  <definedNames>
    <definedName name="_xlnm.Print_Area" localSheetId="0">'Uniformity (2)'!$A$1:$F$54</definedName>
  </definedNames>
  <calcPr calcId="162913"/>
</workbook>
</file>

<file path=xl/calcChain.xml><?xml version="1.0" encoding="utf-8"?>
<calcChain xmlns="http://schemas.openxmlformats.org/spreadsheetml/2006/main">
  <c r="B57" i="7" l="1"/>
  <c r="B57" i="6"/>
  <c r="F51" i="5"/>
  <c r="F30" i="5"/>
  <c r="C19" i="9" l="1"/>
  <c r="C45" i="9"/>
  <c r="C46" i="9"/>
  <c r="D27" i="9" s="1"/>
  <c r="B49" i="9" l="1"/>
  <c r="D38" i="9"/>
  <c r="D34" i="9"/>
  <c r="D30" i="9"/>
  <c r="D50" i="9"/>
  <c r="D42" i="9"/>
  <c r="D26" i="9"/>
  <c r="C50" i="9"/>
  <c r="D41" i="9"/>
  <c r="D37" i="9"/>
  <c r="D33" i="9"/>
  <c r="D29" i="9"/>
  <c r="D25" i="9"/>
  <c r="D49" i="9"/>
  <c r="D40" i="9"/>
  <c r="D36" i="9"/>
  <c r="D32" i="9"/>
  <c r="D28" i="9"/>
  <c r="D24" i="9"/>
  <c r="C49" i="9"/>
  <c r="D43" i="9"/>
  <c r="D39" i="9"/>
  <c r="D35" i="9"/>
  <c r="D31" i="9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21" i="8"/>
  <c r="C124" i="7"/>
  <c r="B116" i="7"/>
  <c r="D100" i="7"/>
  <c r="B98" i="7"/>
  <c r="D101" i="7" s="1"/>
  <c r="F95" i="7"/>
  <c r="D95" i="7"/>
  <c r="I92" i="7" s="1"/>
  <c r="G94" i="7"/>
  <c r="E94" i="7"/>
  <c r="B87" i="7"/>
  <c r="D97" i="7" s="1"/>
  <c r="B81" i="7"/>
  <c r="B83" i="7" s="1"/>
  <c r="B80" i="7"/>
  <c r="B79" i="7"/>
  <c r="C76" i="7"/>
  <c r="H71" i="7"/>
  <c r="G71" i="7"/>
  <c r="D68" i="7"/>
  <c r="B68" i="7"/>
  <c r="H67" i="7"/>
  <c r="G67" i="7"/>
  <c r="D64" i="7"/>
  <c r="H63" i="7"/>
  <c r="G63" i="7"/>
  <c r="D60" i="7"/>
  <c r="C56" i="7"/>
  <c r="B55" i="7"/>
  <c r="B45" i="7"/>
  <c r="D48" i="7" s="1"/>
  <c r="F42" i="7"/>
  <c r="D42" i="7"/>
  <c r="I39" i="7" s="1"/>
  <c r="G41" i="7"/>
  <c r="E41" i="7"/>
  <c r="B34" i="7"/>
  <c r="F44" i="7" s="1"/>
  <c r="B30" i="7"/>
  <c r="C124" i="6"/>
  <c r="B116" i="6"/>
  <c r="D100" i="6"/>
  <c r="B98" i="6"/>
  <c r="F95" i="6"/>
  <c r="D95" i="6"/>
  <c r="G94" i="6"/>
  <c r="E94" i="6"/>
  <c r="I92" i="6"/>
  <c r="B87" i="6"/>
  <c r="F97" i="6" s="1"/>
  <c r="B81" i="6"/>
  <c r="B83" i="6" s="1"/>
  <c r="B80" i="6"/>
  <c r="B79" i="6"/>
  <c r="C76" i="6"/>
  <c r="H71" i="6"/>
  <c r="G71" i="6"/>
  <c r="B68" i="6"/>
  <c r="H67" i="6"/>
  <c r="G67" i="6"/>
  <c r="H63" i="6"/>
  <c r="G63" i="6"/>
  <c r="B69" i="6"/>
  <c r="C56" i="6"/>
  <c r="B55" i="6"/>
  <c r="B45" i="6"/>
  <c r="D48" i="6" s="1"/>
  <c r="F42" i="6"/>
  <c r="D42" i="6"/>
  <c r="G41" i="6"/>
  <c r="E41" i="6"/>
  <c r="B34" i="6"/>
  <c r="D44" i="6" s="1"/>
  <c r="B3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F45" i="7" l="1"/>
  <c r="F46" i="7" s="1"/>
  <c r="B69" i="7"/>
  <c r="D98" i="7"/>
  <c r="D99" i="7" s="1"/>
  <c r="D45" i="6"/>
  <c r="D46" i="6" s="1"/>
  <c r="I39" i="6"/>
  <c r="D101" i="6"/>
  <c r="D44" i="7"/>
  <c r="D45" i="7" s="1"/>
  <c r="D46" i="7" s="1"/>
  <c r="F98" i="6"/>
  <c r="F99" i="6" s="1"/>
  <c r="D49" i="6"/>
  <c r="E40" i="6"/>
  <c r="G39" i="7"/>
  <c r="E40" i="7"/>
  <c r="G40" i="7"/>
  <c r="E39" i="7"/>
  <c r="D49" i="7"/>
  <c r="G38" i="7"/>
  <c r="E38" i="7"/>
  <c r="D102" i="6"/>
  <c r="G91" i="6"/>
  <c r="E93" i="7"/>
  <c r="E91" i="7"/>
  <c r="G92" i="7"/>
  <c r="D102" i="7"/>
  <c r="E92" i="7"/>
  <c r="F44" i="6"/>
  <c r="F45" i="6" s="1"/>
  <c r="F46" i="6" s="1"/>
  <c r="F97" i="7"/>
  <c r="F98" i="7" s="1"/>
  <c r="F99" i="7" s="1"/>
  <c r="D97" i="6"/>
  <c r="D98" i="6" s="1"/>
  <c r="D99" i="6" s="1"/>
  <c r="G93" i="6" l="1"/>
  <c r="E39" i="6"/>
  <c r="G92" i="6"/>
  <c r="E38" i="6"/>
  <c r="E42" i="6" s="1"/>
  <c r="E93" i="6"/>
  <c r="D50" i="7"/>
  <c r="E42" i="7"/>
  <c r="D52" i="7"/>
  <c r="G40" i="6"/>
  <c r="E91" i="6"/>
  <c r="E92" i="6"/>
  <c r="G42" i="7"/>
  <c r="E95" i="7"/>
  <c r="G39" i="6"/>
  <c r="G93" i="7"/>
  <c r="G91" i="7"/>
  <c r="G95" i="6"/>
  <c r="G38" i="6"/>
  <c r="G42" i="6" s="1"/>
  <c r="D103" i="7" l="1"/>
  <c r="D52" i="6"/>
  <c r="D50" i="6"/>
  <c r="D105" i="7"/>
  <c r="G69" i="7"/>
  <c r="H69" i="7" s="1"/>
  <c r="G61" i="7"/>
  <c r="H61" i="7" s="1"/>
  <c r="D51" i="7"/>
  <c r="G66" i="7"/>
  <c r="H66" i="7" s="1"/>
  <c r="G64" i="7"/>
  <c r="H64" i="7" s="1"/>
  <c r="G70" i="7"/>
  <c r="H70" i="7" s="1"/>
  <c r="G62" i="7"/>
  <c r="H62" i="7" s="1"/>
  <c r="G68" i="7"/>
  <c r="H68" i="7" s="1"/>
  <c r="G65" i="7"/>
  <c r="H65" i="7" s="1"/>
  <c r="G60" i="7"/>
  <c r="E95" i="6"/>
  <c r="D105" i="6"/>
  <c r="D103" i="6"/>
  <c r="G95" i="7"/>
  <c r="D104" i="6" l="1"/>
  <c r="E111" i="6"/>
  <c r="F111" i="6" s="1"/>
  <c r="E108" i="6"/>
  <c r="E110" i="6"/>
  <c r="F110" i="6" s="1"/>
  <c r="E109" i="6"/>
  <c r="F109" i="6" s="1"/>
  <c r="E113" i="6"/>
  <c r="F113" i="6" s="1"/>
  <c r="E112" i="6"/>
  <c r="F112" i="6" s="1"/>
  <c r="D104" i="7"/>
  <c r="E111" i="7"/>
  <c r="F111" i="7" s="1"/>
  <c r="E110" i="7"/>
  <c r="F110" i="7" s="1"/>
  <c r="E113" i="7"/>
  <c r="F113" i="7" s="1"/>
  <c r="E109" i="7"/>
  <c r="F109" i="7" s="1"/>
  <c r="E112" i="7"/>
  <c r="F112" i="7" s="1"/>
  <c r="E108" i="7"/>
  <c r="G72" i="7"/>
  <c r="G73" i="7" s="1"/>
  <c r="H60" i="7"/>
  <c r="G74" i="7"/>
  <c r="G68" i="6"/>
  <c r="H68" i="6" s="1"/>
  <c r="G69" i="6"/>
  <c r="H69" i="6" s="1"/>
  <c r="G66" i="6"/>
  <c r="H66" i="6" s="1"/>
  <c r="G64" i="6"/>
  <c r="H64" i="6" s="1"/>
  <c r="G62" i="6"/>
  <c r="H62" i="6" s="1"/>
  <c r="G60" i="6"/>
  <c r="D51" i="6"/>
  <c r="G70" i="6"/>
  <c r="H70" i="6" s="1"/>
  <c r="G65" i="6"/>
  <c r="H65" i="6" s="1"/>
  <c r="G61" i="6"/>
  <c r="H61" i="6" s="1"/>
  <c r="E115" i="6" l="1"/>
  <c r="E116" i="6" s="1"/>
  <c r="E117" i="6"/>
  <c r="F108" i="6"/>
  <c r="E120" i="6"/>
  <c r="E119" i="6"/>
  <c r="E119" i="7"/>
  <c r="E120" i="7"/>
  <c r="E117" i="7"/>
  <c r="E115" i="7"/>
  <c r="E116" i="7" s="1"/>
  <c r="F108" i="7"/>
  <c r="H60" i="6"/>
  <c r="G74" i="6"/>
  <c r="G72" i="6"/>
  <c r="G73" i="6" s="1"/>
  <c r="H74" i="7"/>
  <c r="H72" i="7"/>
  <c r="D125" i="6" l="1"/>
  <c r="F119" i="6"/>
  <c r="F115" i="6"/>
  <c r="F120" i="6"/>
  <c r="F117" i="6"/>
  <c r="F125" i="6"/>
  <c r="D125" i="7"/>
  <c r="F117" i="7"/>
  <c r="F115" i="7"/>
  <c r="F120" i="7"/>
  <c r="F119" i="7"/>
  <c r="F125" i="7"/>
  <c r="G76" i="7"/>
  <c r="H73" i="7"/>
  <c r="H74" i="6"/>
  <c r="H72" i="6"/>
  <c r="G124" i="6" l="1"/>
  <c r="F116" i="6"/>
  <c r="G124" i="7"/>
  <c r="F116" i="7"/>
  <c r="G76" i="6"/>
  <c r="H73" i="6"/>
</calcChain>
</file>

<file path=xl/sharedStrings.xml><?xml version="1.0" encoding="utf-8"?>
<sst xmlns="http://schemas.openxmlformats.org/spreadsheetml/2006/main" count="459" uniqueCount="138">
  <si>
    <t>HPLC System Suitability Report</t>
  </si>
  <si>
    <t>Analysis Data</t>
  </si>
  <si>
    <t>Assay</t>
  </si>
  <si>
    <t>Sample(s)</t>
  </si>
  <si>
    <t>Reference Substance:</t>
  </si>
  <si>
    <t>CO-TRIMOXAZOLE TABLETS BP 960 MG</t>
  </si>
  <si>
    <t>% age Purity:</t>
  </si>
  <si>
    <t>Weight (mg):</t>
  </si>
  <si>
    <t>Sulfamethoxazole &amp; Trimethoprim</t>
  </si>
  <si>
    <t>Standard Conc (mg/mL):</t>
  </si>
  <si>
    <t>Each tablet contains: Sulphamethoxazole B.P. 800 mg and Trimethoprim B.P. 160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</si>
  <si>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</si>
  <si>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</si>
  <si>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</si>
  <si>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</si>
  <si>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</si>
  <si>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</si>
  <si>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</si>
  <si>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</si>
  <si>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</si>
  <si>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</si>
  <si>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</si>
  <si>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</si>
  <si>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</si>
  <si>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</si>
  <si>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</si>
  <si>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</si>
  <si>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</si>
  <si>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</si>
  <si>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</si>
  <si>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</si>
  <si>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</si>
  <si>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</si>
  <si>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</si>
  <si>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</si>
  <si>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</si>
  <si>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</si>
  <si>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</si>
  <si>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</si>
  <si>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</si>
  <si>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</si>
  <si>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</si>
  <si>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</si>
  <si>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</si>
  <si>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</si>
  <si>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</si>
  <si>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</si>
  <si>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</si>
  <si>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</si>
  <si>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</si>
  <si>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</si>
  <si>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</si>
  <si>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</si>
  <si>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</si>
  <si>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</si>
  <si>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</si>
  <si>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</si>
  <si>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</si>
  <si>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</si>
  <si>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</si>
  <si>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</si>
  <si>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</si>
  <si>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</si>
  <si>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</si>
  <si>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</si>
  <si>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</si>
  <si>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</si>
  <si>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</si>
  <si>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</si>
  <si>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</si>
  <si>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</si>
  <si>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</si>
  <si>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</si>
  <si>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</si>
  <si>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</si>
  <si>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</si>
  <si>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</si>
  <si>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</si>
  <si>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</si>
  <si>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</si>
  <si>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</si>
  <si>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</si>
  <si>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</si>
  <si>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</si>
  <si>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</si>
  <si>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</si>
  <si>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</si>
  <si>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</si>
  <si>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</si>
  <si>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</si>
  <si>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</si>
  <si>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</si>
  <si>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</si>
  <si>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</si>
  <si>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</si>
  <si>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</si>
  <si>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</si>
  <si>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</si>
  <si>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</si>
  <si>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</si>
  <si>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</si>
  <si>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</si>
  <si>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</si>
  <si>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</si>
  <si>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</si>
  <si>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</si>
  <si>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</si>
  <si>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</si>
  <si>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</si>
  <si>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</si>
  <si>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</si>
  <si>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</si>
  <si>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</si>
  <si>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</si>
  <si>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</si>
  <si>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</si>
  <si>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</si>
  <si>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</si>
  <si>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</si>
  <si>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</si>
  <si>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</si>
  <si>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</si>
  <si>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</si>
  <si>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</si>
  <si>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</si>
  <si>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</si>
  <si>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</si>
  <si>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</si>
  <si>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</si>
  <si>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</si>
  <si>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2017-08-04 09:30:32</t>
  </si>
  <si>
    <t>Resolution</t>
  </si>
  <si>
    <r>
      <t xml:space="preserve">The Resolution should not be less than </t>
    </r>
    <r>
      <rPr>
        <b/>
        <sz val="12"/>
        <color rgb="FF000000"/>
        <rFont val="Book Antiqua"/>
        <family val="1"/>
      </rPr>
      <t>5.0</t>
    </r>
  </si>
  <si>
    <t>NDQB201708103</t>
  </si>
  <si>
    <t>S12-6</t>
  </si>
  <si>
    <t>Trimethoprim</t>
  </si>
  <si>
    <t>T7-4</t>
  </si>
  <si>
    <t>2017-08-04 09:34:38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</si>
</sst>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sz val="11"/>
      <color rgb="FF000000"/>
      <name val="Book Antiqua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5" fillId="2" borderId="0"/>
    <xf numFmtId="0" fontId="26" fillId="2" borderId="0"/>
  </cellStyleXfs>
  <cellXfs count="318">
    <xf numFmtId="0" fontId="0" fillId="2" borderId="0" xfId="0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57" xfId="1" applyFont="1" applyFill="1" applyBorder="1"/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26" xfId="1" applyNumberFormat="1" applyFont="1" applyFill="1" applyBorder="1" applyAlignment="1" applyProtection="1">
      <alignment horizontal="center"/>
      <protection locked="0"/>
    </xf>
    <xf numFmtId="2" fontId="7" fillId="3" borderId="31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3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2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0" xfId="1" applyFont="1" applyFill="1" applyBorder="1"/>
    <xf numFmtId="0" fontId="2" fillId="2" borderId="58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2" fillId="2" borderId="59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176" fontId="2" fillId="9" borderId="57" xfId="1" applyNumberFormat="1" applyFont="1" applyFill="1" applyBorder="1" applyAlignment="1">
      <alignment horizontal="center"/>
    </xf>
    <xf numFmtId="0" fontId="2" fillId="2" borderId="9" xfId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6" fillId="2" borderId="6" xfId="1" applyFont="1" applyFill="1" applyBorder="1"/>
    <xf numFmtId="0" fontId="6" fillId="2" borderId="8" xfId="1" applyFont="1" applyFill="1" applyBorder="1"/>
    <xf numFmtId="0" fontId="1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6" fillId="2" borderId="0" xfId="2" applyFill="1"/>
    <xf numFmtId="0" fontId="1" fillId="2" borderId="0" xfId="2" applyFont="1" applyFill="1"/>
    <xf numFmtId="0" fontId="6" fillId="2" borderId="11" xfId="2" applyFont="1" applyFill="1" applyBorder="1"/>
    <xf numFmtId="0" fontId="6" fillId="2" borderId="0" xfId="2" applyFont="1" applyFill="1"/>
    <xf numFmtId="0" fontId="5" fillId="2" borderId="11" xfId="2" applyFont="1" applyFill="1" applyBorder="1"/>
    <xf numFmtId="0" fontId="5" fillId="2" borderId="0" xfId="2" applyFont="1" applyFill="1"/>
    <xf numFmtId="0" fontId="5" fillId="2" borderId="0" xfId="2" applyFont="1" applyFill="1" applyAlignment="1">
      <alignment horizontal="right"/>
    </xf>
    <xf numFmtId="0" fontId="6" fillId="2" borderId="7" xfId="2" applyFont="1" applyFill="1" applyBorder="1"/>
    <xf numFmtId="0" fontId="5" fillId="2" borderId="10" xfId="2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/>
    </xf>
    <xf numFmtId="0" fontId="5" fillId="2" borderId="10" xfId="2" applyFont="1" applyFill="1" applyBorder="1"/>
    <xf numFmtId="0" fontId="9" fillId="2" borderId="0" xfId="2" applyFont="1" applyFill="1"/>
    <xf numFmtId="10" fontId="6" fillId="2" borderId="9" xfId="2" applyNumberFormat="1" applyFont="1" applyFill="1" applyBorder="1"/>
    <xf numFmtId="0" fontId="6" fillId="2" borderId="0" xfId="2" applyFont="1" applyFill="1" applyAlignment="1">
      <alignment horizontal="center"/>
    </xf>
    <xf numFmtId="0" fontId="6" fillId="2" borderId="9" xfId="2" applyFont="1" applyFill="1" applyBorder="1"/>
    <xf numFmtId="2" fontId="5" fillId="2" borderId="12" xfId="2" applyNumberFormat="1" applyFont="1" applyFill="1" applyBorder="1" applyAlignment="1">
      <alignment horizontal="center" vertical="center"/>
    </xf>
    <xf numFmtId="165" fontId="5" fillId="2" borderId="17" xfId="2" applyNumberFormat="1" applyFont="1" applyFill="1" applyBorder="1" applyAlignment="1">
      <alignment horizontal="center"/>
    </xf>
    <xf numFmtId="165" fontId="5" fillId="2" borderId="16" xfId="2" applyNumberFormat="1" applyFont="1" applyFill="1" applyBorder="1" applyAlignment="1">
      <alignment horizontal="center"/>
    </xf>
    <xf numFmtId="2" fontId="8" fillId="2" borderId="0" xfId="2" applyNumberFormat="1" applyFont="1" applyFill="1"/>
    <xf numFmtId="10" fontId="2" fillId="2" borderId="0" xfId="2" applyNumberFormat="1" applyFont="1" applyFill="1"/>
    <xf numFmtId="0" fontId="5" fillId="2" borderId="12" xfId="2" applyFont="1" applyFill="1" applyBorder="1" applyAlignment="1">
      <alignment horizontal="center" wrapText="1"/>
    </xf>
    <xf numFmtId="0" fontId="5" fillId="2" borderId="12" xfId="2" applyFont="1" applyFill="1" applyBorder="1" applyAlignment="1">
      <alignment horizontal="center" vertical="center"/>
    </xf>
    <xf numFmtId="2" fontId="8" fillId="2" borderId="0" xfId="2" applyNumberFormat="1" applyFont="1" applyFill="1" applyAlignment="1">
      <alignment horizontal="right"/>
    </xf>
    <xf numFmtId="2" fontId="5" fillId="2" borderId="0" xfId="2" applyNumberFormat="1" applyFont="1" applyFill="1"/>
    <xf numFmtId="164" fontId="5" fillId="2" borderId="12" xfId="2" applyNumberFormat="1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right" vertical="center"/>
    </xf>
    <xf numFmtId="166" fontId="2" fillId="2" borderId="0" xfId="2" applyNumberFormat="1" applyFont="1" applyFill="1" applyAlignment="1">
      <alignment horizontal="center"/>
    </xf>
    <xf numFmtId="166" fontId="6" fillId="2" borderId="0" xfId="2" applyNumberFormat="1" applyFont="1" applyFill="1" applyAlignment="1">
      <alignment horizontal="center"/>
    </xf>
    <xf numFmtId="166" fontId="6" fillId="2" borderId="12" xfId="2" applyNumberFormat="1" applyFont="1" applyFill="1" applyBorder="1" applyAlignment="1">
      <alignment horizontal="center" vertical="center"/>
    </xf>
    <xf numFmtId="10" fontId="2" fillId="2" borderId="0" xfId="2" applyNumberFormat="1" applyFont="1" applyFill="1" applyAlignment="1">
      <alignment horizontal="center"/>
    </xf>
    <xf numFmtId="10" fontId="6" fillId="2" borderId="0" xfId="2" applyNumberFormat="1" applyFont="1" applyFill="1" applyAlignment="1">
      <alignment horizontal="center"/>
    </xf>
    <xf numFmtId="10" fontId="6" fillId="2" borderId="15" xfId="2" applyNumberFormat="1" applyFont="1" applyFill="1" applyBorder="1" applyAlignment="1">
      <alignment horizontal="center"/>
    </xf>
    <xf numFmtId="2" fontId="6" fillId="3" borderId="15" xfId="2" applyNumberFormat="1" applyFont="1" applyFill="1" applyBorder="1" applyProtection="1">
      <protection locked="0"/>
    </xf>
    <xf numFmtId="10" fontId="6" fillId="2" borderId="14" xfId="2" applyNumberFormat="1" applyFont="1" applyFill="1" applyBorder="1" applyAlignment="1">
      <alignment horizontal="center"/>
    </xf>
    <xf numFmtId="2" fontId="6" fillId="3" borderId="14" xfId="2" applyNumberFormat="1" applyFont="1" applyFill="1" applyBorder="1" applyProtection="1">
      <protection locked="0"/>
    </xf>
    <xf numFmtId="10" fontId="6" fillId="2" borderId="13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164" fontId="5" fillId="2" borderId="12" xfId="2" applyNumberFormat="1" applyFont="1" applyFill="1" applyBorder="1" applyAlignment="1">
      <alignment horizontal="center" wrapText="1"/>
    </xf>
    <xf numFmtId="164" fontId="1" fillId="2" borderId="0" xfId="2" applyNumberFormat="1" applyFont="1" applyFill="1"/>
    <xf numFmtId="0" fontId="4" fillId="2" borderId="0" xfId="2" applyFont="1" applyFill="1" applyAlignment="1">
      <alignment horizontal="left"/>
    </xf>
    <xf numFmtId="167" fontId="6" fillId="2" borderId="0" xfId="2" applyNumberFormat="1" applyFont="1" applyFill="1"/>
    <xf numFmtId="167" fontId="6" fillId="2" borderId="0" xfId="2" applyNumberFormat="1" applyFont="1" applyFill="1" applyAlignment="1">
      <alignment horizontal="center"/>
    </xf>
    <xf numFmtId="0" fontId="4" fillId="2" borderId="0" xfId="2" applyFont="1" applyFill="1"/>
    <xf numFmtId="0" fontId="10" fillId="2" borderId="0" xfId="2" applyFont="1" applyFill="1" applyAlignment="1">
      <alignment wrapText="1"/>
    </xf>
    <xf numFmtId="0" fontId="27" fillId="3" borderId="3" xfId="0" applyFont="1" applyFill="1" applyBorder="1" applyAlignment="1" applyProtection="1">
      <alignment horizontal="center"/>
      <protection locked="0"/>
    </xf>
    <xf numFmtId="0" fontId="27" fillId="3" borderId="5" xfId="0" applyFont="1" applyFill="1" applyBorder="1" applyAlignment="1" applyProtection="1">
      <alignment horizontal="center"/>
      <protection locked="0"/>
    </xf>
    <xf numFmtId="0" fontId="5" fillId="2" borderId="0" xfId="2" applyFont="1" applyFill="1" applyAlignment="1">
      <alignment horizontal="right"/>
    </xf>
    <xf numFmtId="0" fontId="4" fillId="2" borderId="0" xfId="2" applyFont="1" applyFill="1" applyAlignment="1">
      <alignment horizontal="center"/>
    </xf>
    <xf numFmtId="166" fontId="5" fillId="2" borderId="13" xfId="2" applyNumberFormat="1" applyFont="1" applyFill="1" applyBorder="1" applyAlignment="1">
      <alignment horizontal="center" vertical="center"/>
    </xf>
    <xf numFmtId="166" fontId="5" fillId="2" borderId="15" xfId="2" applyNumberFormat="1" applyFont="1" applyFill="1" applyBorder="1" applyAlignment="1">
      <alignment horizontal="center" vertical="center"/>
    </xf>
    <xf numFmtId="0" fontId="10" fillId="2" borderId="18" xfId="2" applyFont="1" applyFill="1" applyBorder="1" applyAlignment="1">
      <alignment horizontal="center" wrapText="1"/>
    </xf>
    <xf numFmtId="0" fontId="10" fillId="2" borderId="19" xfId="2" applyFont="1" applyFill="1" applyBorder="1" applyAlignment="1">
      <alignment horizontal="center" wrapText="1"/>
    </xf>
    <xf numFmtId="0" fontId="10" fillId="2" borderId="20" xfId="2" applyFont="1" applyFill="1" applyBorder="1" applyAlignment="1">
      <alignment horizontal="center" wrapText="1"/>
    </xf>
    <xf numFmtId="164" fontId="1" fillId="2" borderId="0" xfId="2" applyNumberFormat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6" fillId="2" borderId="0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left"/>
    </xf>
    <xf numFmtId="0" fontId="1" fillId="2" borderId="10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176" fontId="6" fillId="8" borderId="58" xfId="0" applyNumberFormat="1" applyFont="1" applyFill="1" applyBorder="1" applyAlignment="1">
      <alignment horizontal="center"/>
    </xf>
    <xf numFmtId="176" fontId="6" fillId="9" borderId="57" xfId="1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E18" sqref="E18"/>
    </sheetView>
  </sheetViews>
  <sheetFormatPr defaultRowHeight="15" x14ac:dyDescent="0.3"/>
  <cols>
    <col min="1" max="1" width="15.5703125" style="218" customWidth="1"/>
    <col min="2" max="2" width="18.42578125" style="218" customWidth="1"/>
    <col min="3" max="3" width="14.28515625" style="218" customWidth="1"/>
    <col min="4" max="4" width="15" style="218" customWidth="1"/>
    <col min="5" max="5" width="9.140625" style="218" customWidth="1"/>
    <col min="6" max="6" width="27.85546875" style="218" customWidth="1"/>
    <col min="7" max="7" width="12.28515625" style="218" customWidth="1"/>
    <col min="8" max="8" width="9.140625" style="218" customWidth="1"/>
    <col min="9" max="16384" width="9.140625" style="217"/>
  </cols>
  <sheetData>
    <row r="10" spans="1:7" ht="13.5" customHeight="1" thickBot="1" x14ac:dyDescent="0.35"/>
    <row r="11" spans="1:7" ht="13.5" customHeight="1" thickBot="1" x14ac:dyDescent="0.35">
      <c r="A11" s="267" t="s">
        <v>29</v>
      </c>
      <c r="B11" s="268"/>
      <c r="C11" s="268"/>
      <c r="D11" s="268"/>
      <c r="E11" s="268"/>
      <c r="F11" s="269"/>
      <c r="G11" s="260"/>
    </row>
    <row r="12" spans="1:7" ht="16.5" customHeight="1" x14ac:dyDescent="0.3">
      <c r="A12" s="264" t="s">
        <v>30</v>
      </c>
      <c r="B12" s="264"/>
      <c r="C12" s="264"/>
      <c r="D12" s="264"/>
      <c r="E12" s="264"/>
      <c r="F12" s="264"/>
      <c r="G12" s="259"/>
    </row>
    <row r="14" spans="1:7" ht="16.5" customHeight="1" x14ac:dyDescent="0.3">
      <c r="A14" s="263" t="s">
        <v>31</v>
      </c>
      <c r="B14" s="263"/>
      <c r="C14" s="220" t="s">
        <v>5</v>
      </c>
    </row>
    <row r="15" spans="1:7" ht="16.5" customHeight="1" x14ac:dyDescent="0.3">
      <c r="A15" s="263" t="s">
        <v>32</v>
      </c>
      <c r="B15" s="263"/>
      <c r="C15" s="220" t="s">
        <v>133</v>
      </c>
    </row>
    <row r="16" spans="1:7" ht="16.5" customHeight="1" x14ac:dyDescent="0.3">
      <c r="A16" s="263" t="s">
        <v>33</v>
      </c>
      <c r="B16" s="263"/>
      <c r="C16" s="220" t="s">
        <v>8</v>
      </c>
    </row>
    <row r="17" spans="1:5" ht="16.5" customHeight="1" x14ac:dyDescent="0.3">
      <c r="A17" s="263" t="s">
        <v>34</v>
      </c>
      <c r="B17" s="263"/>
      <c r="C17" s="220" t="s">
        <v>10</v>
      </c>
    </row>
    <row r="18" spans="1:5" ht="16.5" customHeight="1" x14ac:dyDescent="0.3">
      <c r="A18" s="263" t="s">
        <v>35</v>
      </c>
      <c r="B18" s="263"/>
      <c r="C18" s="258" t="s">
        <v>137</v>
      </c>
    </row>
    <row r="19" spans="1:5" ht="16.5" customHeight="1" x14ac:dyDescent="0.3">
      <c r="A19" s="263" t="s">
        <v>36</v>
      </c>
      <c r="B19" s="263"/>
      <c r="C19" s="258" t="e">
        <f>#REF!</f>
        <v>#REF!</v>
      </c>
    </row>
    <row r="20" spans="1:5" ht="16.5" customHeight="1" x14ac:dyDescent="0.3">
      <c r="A20" s="223"/>
      <c r="B20" s="223"/>
      <c r="C20" s="257"/>
    </row>
    <row r="21" spans="1:5" ht="16.5" customHeight="1" x14ac:dyDescent="0.3">
      <c r="A21" s="264" t="s">
        <v>1</v>
      </c>
      <c r="B21" s="264"/>
      <c r="C21" s="256" t="s">
        <v>37</v>
      </c>
      <c r="D21" s="228"/>
    </row>
    <row r="22" spans="1:5" ht="15.75" customHeight="1" thickBot="1" x14ac:dyDescent="0.35">
      <c r="A22" s="270"/>
      <c r="B22" s="270"/>
      <c r="C22" s="255"/>
      <c r="D22" s="270"/>
      <c r="E22" s="270"/>
    </row>
    <row r="23" spans="1:5" ht="33.75" customHeight="1" thickBot="1" x14ac:dyDescent="0.35">
      <c r="C23" s="254" t="s">
        <v>38</v>
      </c>
      <c r="D23" s="237" t="s">
        <v>39</v>
      </c>
      <c r="E23" s="253"/>
    </row>
    <row r="24" spans="1:5" ht="15.75" customHeight="1" x14ac:dyDescent="0.3">
      <c r="C24" s="251">
        <v>1044.6500000000001</v>
      </c>
      <c r="D24" s="252">
        <f t="shared" ref="D24:D43" si="0">(C24-$C$46)/$C$46</f>
        <v>5.4814693610405986E-3</v>
      </c>
      <c r="E24" s="247"/>
    </row>
    <row r="25" spans="1:5" ht="15.75" customHeight="1" x14ac:dyDescent="0.3">
      <c r="C25" s="251">
        <v>1050.3399999999999</v>
      </c>
      <c r="D25" s="250">
        <f t="shared" si="0"/>
        <v>1.0958126194108273E-2</v>
      </c>
      <c r="E25" s="247"/>
    </row>
    <row r="26" spans="1:5" ht="15.75" customHeight="1" x14ac:dyDescent="0.3">
      <c r="C26" s="251">
        <v>1050.1300000000001</v>
      </c>
      <c r="D26" s="250">
        <f t="shared" si="0"/>
        <v>1.0756000019250067E-2</v>
      </c>
      <c r="E26" s="247"/>
    </row>
    <row r="27" spans="1:5" ht="15.75" customHeight="1" x14ac:dyDescent="0.3">
      <c r="C27" s="251">
        <v>1048.31</v>
      </c>
      <c r="D27" s="250">
        <f t="shared" si="0"/>
        <v>9.0042398371438515E-3</v>
      </c>
      <c r="E27" s="247"/>
    </row>
    <row r="28" spans="1:5" ht="15.75" customHeight="1" x14ac:dyDescent="0.3">
      <c r="C28" s="251">
        <v>1039.74</v>
      </c>
      <c r="D28" s="250">
        <f t="shared" si="0"/>
        <v>7.5556689173241799E-4</v>
      </c>
      <c r="E28" s="247"/>
    </row>
    <row r="29" spans="1:5" ht="15.75" customHeight="1" x14ac:dyDescent="0.3">
      <c r="C29" s="251">
        <v>1043.48</v>
      </c>
      <c r="D29" s="250">
        <f t="shared" si="0"/>
        <v>4.3553378154009203E-3</v>
      </c>
      <c r="E29" s="247"/>
    </row>
    <row r="30" spans="1:5" ht="15.75" customHeight="1" x14ac:dyDescent="0.3">
      <c r="C30" s="251">
        <v>1040.45</v>
      </c>
      <c r="D30" s="250">
        <f t="shared" si="0"/>
        <v>1.4389458638727284E-3</v>
      </c>
      <c r="E30" s="247"/>
    </row>
    <row r="31" spans="1:5" ht="15.75" customHeight="1" x14ac:dyDescent="0.3">
      <c r="C31" s="251">
        <v>1049.52</v>
      </c>
      <c r="D31" s="250">
        <f t="shared" si="0"/>
        <v>1.0168871606566045E-2</v>
      </c>
      <c r="E31" s="247"/>
    </row>
    <row r="32" spans="1:5" ht="15.75" customHeight="1" x14ac:dyDescent="0.3">
      <c r="C32" s="251">
        <v>1037.29</v>
      </c>
      <c r="D32" s="250">
        <f t="shared" si="0"/>
        <v>-1.6025718149488581E-3</v>
      </c>
      <c r="E32" s="247"/>
    </row>
    <row r="33" spans="1:7" ht="15.75" customHeight="1" x14ac:dyDescent="0.3">
      <c r="C33" s="251">
        <v>1034.76</v>
      </c>
      <c r="D33" s="250">
        <f t="shared" si="0"/>
        <v>-4.037710969195165E-3</v>
      </c>
      <c r="E33" s="247"/>
    </row>
    <row r="34" spans="1:7" ht="15.75" customHeight="1" x14ac:dyDescent="0.3">
      <c r="C34" s="251">
        <v>1038.6600000000001</v>
      </c>
      <c r="D34" s="250">
        <f t="shared" si="0"/>
        <v>-2.8393915039638169E-4</v>
      </c>
      <c r="E34" s="247"/>
    </row>
    <row r="35" spans="1:7" ht="15.75" customHeight="1" x14ac:dyDescent="0.3">
      <c r="C35" s="251">
        <v>1025.46</v>
      </c>
      <c r="D35" s="250">
        <f t="shared" si="0"/>
        <v>-1.2989012998638166E-2</v>
      </c>
      <c r="E35" s="247"/>
    </row>
    <row r="36" spans="1:7" ht="15.75" customHeight="1" x14ac:dyDescent="0.3">
      <c r="C36" s="251">
        <v>1021.22</v>
      </c>
      <c r="D36" s="250">
        <f t="shared" si="0"/>
        <v>-1.7070036719588552E-2</v>
      </c>
      <c r="E36" s="247"/>
    </row>
    <row r="37" spans="1:7" ht="15.75" customHeight="1" x14ac:dyDescent="0.3">
      <c r="C37" s="251">
        <v>1026.45</v>
      </c>
      <c r="D37" s="250">
        <f t="shared" si="0"/>
        <v>-1.2036132460020027E-2</v>
      </c>
      <c r="E37" s="247"/>
    </row>
    <row r="38" spans="1:7" ht="15.75" customHeight="1" x14ac:dyDescent="0.3">
      <c r="C38" s="251">
        <v>1040.08</v>
      </c>
      <c r="D38" s="250">
        <f t="shared" si="0"/>
        <v>1.0828187938840205E-3</v>
      </c>
      <c r="E38" s="247"/>
    </row>
    <row r="39" spans="1:7" ht="15.75" customHeight="1" x14ac:dyDescent="0.3">
      <c r="C39" s="251">
        <v>1020.53</v>
      </c>
      <c r="D39" s="250">
        <f t="shared" si="0"/>
        <v>-1.7734165579837605E-2</v>
      </c>
      <c r="E39" s="247"/>
    </row>
    <row r="40" spans="1:7" ht="15.75" customHeight="1" x14ac:dyDescent="0.3">
      <c r="C40" s="251">
        <v>1062.99</v>
      </c>
      <c r="D40" s="250">
        <f t="shared" si="0"/>
        <v>2.3133821965340029E-2</v>
      </c>
      <c r="E40" s="247"/>
    </row>
    <row r="41" spans="1:7" ht="15.75" customHeight="1" x14ac:dyDescent="0.3">
      <c r="C41" s="251">
        <v>1029.79</v>
      </c>
      <c r="D41" s="250">
        <f t="shared" si="0"/>
        <v>-8.8213637741771204E-3</v>
      </c>
      <c r="E41" s="247"/>
    </row>
    <row r="42" spans="1:7" ht="15.75" customHeight="1" x14ac:dyDescent="0.3">
      <c r="C42" s="251">
        <v>1052.99</v>
      </c>
      <c r="D42" s="250">
        <f t="shared" si="0"/>
        <v>1.3508766019702348E-2</v>
      </c>
      <c r="E42" s="247"/>
    </row>
    <row r="43" spans="1:7" ht="16.5" customHeight="1" thickBot="1" x14ac:dyDescent="0.35">
      <c r="C43" s="249">
        <v>1022.26</v>
      </c>
      <c r="D43" s="248">
        <f t="shared" si="0"/>
        <v>-1.606903090124227E-2</v>
      </c>
      <c r="E43" s="247"/>
    </row>
    <row r="44" spans="1:7" ht="16.5" customHeight="1" thickBot="1" x14ac:dyDescent="0.35">
      <c r="C44" s="243"/>
      <c r="D44" s="247"/>
      <c r="E44" s="246"/>
    </row>
    <row r="45" spans="1:7" ht="16.5" customHeight="1" thickBot="1" x14ac:dyDescent="0.35">
      <c r="B45" s="242" t="s">
        <v>40</v>
      </c>
      <c r="C45" s="245">
        <f>SUM(C24:C44)</f>
        <v>20779.100000000002</v>
      </c>
      <c r="D45" s="244"/>
      <c r="E45" s="243"/>
    </row>
    <row r="46" spans="1:7" ht="17.25" customHeight="1" thickBot="1" x14ac:dyDescent="0.35">
      <c r="B46" s="242" t="s">
        <v>41</v>
      </c>
      <c r="C46" s="241">
        <f>AVERAGE(C24:C44)</f>
        <v>1038.9550000000002</v>
      </c>
      <c r="E46" s="239"/>
    </row>
    <row r="47" spans="1:7" ht="17.25" customHeight="1" thickBot="1" x14ac:dyDescent="0.35">
      <c r="A47" s="220"/>
      <c r="B47" s="240"/>
      <c r="D47" s="235"/>
      <c r="E47" s="239"/>
    </row>
    <row r="48" spans="1:7" ht="33.75" customHeight="1" thickBot="1" x14ac:dyDescent="0.35">
      <c r="B48" s="238" t="s">
        <v>41</v>
      </c>
      <c r="C48" s="237" t="s">
        <v>42</v>
      </c>
      <c r="D48" s="236"/>
      <c r="G48" s="235"/>
    </row>
    <row r="49" spans="1:6" ht="17.25" customHeight="1" thickBot="1" x14ac:dyDescent="0.35">
      <c r="B49" s="265">
        <f>C46</f>
        <v>1038.9550000000002</v>
      </c>
      <c r="C49" s="234">
        <f>-IF(C46&lt;=80,10%,IF(C46&lt;250,7.5%,5%))</f>
        <v>-0.05</v>
      </c>
      <c r="D49" s="232">
        <f>IF(C46&lt;=80,C46*0.9,IF(C46&lt;250,C46*0.925,C46*0.95))</f>
        <v>987.00725000000011</v>
      </c>
    </row>
    <row r="50" spans="1:6" ht="17.25" customHeight="1" thickBot="1" x14ac:dyDescent="0.35">
      <c r="B50" s="266"/>
      <c r="C50" s="233">
        <f>IF(C46&lt;=80, 10%, IF(C46&lt;250, 7.5%, 5%))</f>
        <v>0.05</v>
      </c>
      <c r="D50" s="232">
        <f>IF(C46&lt;=80, C46*1.1, IF(C46&lt;250, C46*1.075, C46*1.05))</f>
        <v>1090.9027500000002</v>
      </c>
    </row>
    <row r="51" spans="1:6" ht="16.5" customHeight="1" thickBot="1" x14ac:dyDescent="0.35">
      <c r="A51" s="231"/>
      <c r="B51" s="230"/>
      <c r="C51" s="220"/>
      <c r="D51" s="229"/>
      <c r="E51" s="220"/>
      <c r="F51" s="228"/>
    </row>
    <row r="52" spans="1:6" ht="16.5" customHeight="1" x14ac:dyDescent="0.3">
      <c r="A52" s="220"/>
      <c r="B52" s="227" t="s">
        <v>24</v>
      </c>
      <c r="C52" s="227"/>
      <c r="D52" s="225" t="s">
        <v>25</v>
      </c>
      <c r="E52" s="226"/>
      <c r="F52" s="225" t="s">
        <v>26</v>
      </c>
    </row>
    <row r="53" spans="1:6" ht="34.5" customHeight="1" x14ac:dyDescent="0.3">
      <c r="A53" s="223" t="s">
        <v>27</v>
      </c>
      <c r="B53" s="224"/>
      <c r="C53" s="220"/>
      <c r="D53" s="224"/>
      <c r="E53" s="220"/>
      <c r="F53" s="224"/>
    </row>
    <row r="54" spans="1:6" ht="34.5" customHeight="1" x14ac:dyDescent="0.3">
      <c r="A54" s="223" t="s">
        <v>28</v>
      </c>
      <c r="B54" s="221"/>
      <c r="C54" s="222"/>
      <c r="D54" s="221"/>
      <c r="E54" s="220"/>
      <c r="F54" s="219"/>
    </row>
  </sheetData>
  <sheetProtection password="B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F45" sqref="F45:F50"/>
    </sheetView>
  </sheetViews>
  <sheetFormatPr defaultRowHeight="13.5" x14ac:dyDescent="0.25"/>
  <cols>
    <col min="1" max="1" width="27.570312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42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71" t="s">
        <v>0</v>
      </c>
      <c r="B15" s="271"/>
      <c r="C15" s="271"/>
      <c r="D15" s="271"/>
      <c r="E15" s="271"/>
    </row>
    <row r="16" spans="1:6" ht="16.5" customHeight="1" x14ac:dyDescent="0.3">
      <c r="A16" s="4" t="s">
        <v>1</v>
      </c>
      <c r="B16" s="5" t="s">
        <v>2</v>
      </c>
    </row>
    <row r="17" spans="1:6" ht="16.5" customHeight="1" x14ac:dyDescent="0.3">
      <c r="A17" s="6" t="s">
        <v>3</v>
      </c>
      <c r="B17" s="6" t="s">
        <v>5</v>
      </c>
      <c r="D17" s="7"/>
      <c r="E17" s="8"/>
    </row>
    <row r="18" spans="1:6" ht="16.5" customHeight="1" x14ac:dyDescent="0.3">
      <c r="A18" s="9" t="s">
        <v>4</v>
      </c>
      <c r="B18" s="2" t="s">
        <v>129</v>
      </c>
      <c r="C18" s="8"/>
      <c r="D18" s="8"/>
      <c r="E18" s="8"/>
    </row>
    <row r="19" spans="1:6" ht="16.5" customHeight="1" x14ac:dyDescent="0.3">
      <c r="A19" s="9" t="s">
        <v>6</v>
      </c>
      <c r="B19" s="10">
        <v>99.02</v>
      </c>
      <c r="C19" s="8"/>
      <c r="D19" s="8"/>
      <c r="E19" s="8"/>
    </row>
    <row r="20" spans="1:6" ht="16.5" customHeight="1" x14ac:dyDescent="0.3">
      <c r="A20" s="6" t="s">
        <v>7</v>
      </c>
      <c r="B20" s="10">
        <v>18.91</v>
      </c>
      <c r="C20" s="8"/>
      <c r="D20" s="8"/>
      <c r="E20" s="8"/>
    </row>
    <row r="21" spans="1:6" ht="16.5" customHeight="1" x14ac:dyDescent="0.3">
      <c r="A21" s="6" t="s">
        <v>9</v>
      </c>
      <c r="B21" s="11">
        <f>B20/100</f>
        <v>0.18909999999999999</v>
      </c>
      <c r="C21" s="8"/>
      <c r="D21" s="8"/>
      <c r="E21" s="8"/>
    </row>
    <row r="22" spans="1:6" ht="15.75" customHeight="1" x14ac:dyDescent="0.25">
      <c r="A22" s="8"/>
      <c r="B22" s="8" t="s">
        <v>130</v>
      </c>
      <c r="C22" s="8"/>
      <c r="D22" s="8"/>
      <c r="E22" s="8"/>
    </row>
    <row r="23" spans="1:6" ht="16.5" customHeight="1" x14ac:dyDescent="0.3">
      <c r="A23" s="12" t="s">
        <v>11</v>
      </c>
      <c r="B23" s="13" t="s">
        <v>12</v>
      </c>
      <c r="C23" s="12" t="s">
        <v>13</v>
      </c>
      <c r="D23" s="12" t="s">
        <v>14</v>
      </c>
      <c r="E23" s="13" t="s">
        <v>15</v>
      </c>
      <c r="F23" s="14" t="s">
        <v>131</v>
      </c>
    </row>
    <row r="24" spans="1:6" ht="16.5" customHeight="1" x14ac:dyDescent="0.3">
      <c r="A24" s="15">
        <v>1</v>
      </c>
      <c r="B24" s="16">
        <v>45357508</v>
      </c>
      <c r="C24" s="16">
        <v>9597.1</v>
      </c>
      <c r="D24" s="17">
        <v>1.1000000000000001</v>
      </c>
      <c r="E24" s="18">
        <v>10.8</v>
      </c>
      <c r="F24" s="316">
        <v>14</v>
      </c>
    </row>
    <row r="25" spans="1:6" ht="16.5" customHeight="1" x14ac:dyDescent="0.3">
      <c r="A25" s="15">
        <v>2</v>
      </c>
      <c r="B25" s="16">
        <v>45512050</v>
      </c>
      <c r="C25" s="16">
        <v>9680.9</v>
      </c>
      <c r="D25" s="17">
        <v>1</v>
      </c>
      <c r="E25" s="19">
        <v>10.8</v>
      </c>
      <c r="F25" s="316">
        <v>14.1</v>
      </c>
    </row>
    <row r="26" spans="1:6" ht="16.5" customHeight="1" x14ac:dyDescent="0.3">
      <c r="A26" s="15">
        <v>3</v>
      </c>
      <c r="B26" s="16">
        <v>45526906</v>
      </c>
      <c r="C26" s="16">
        <v>9756.7000000000007</v>
      </c>
      <c r="D26" s="17">
        <v>1</v>
      </c>
      <c r="E26" s="19">
        <v>10.8</v>
      </c>
      <c r="F26" s="316">
        <v>14.2</v>
      </c>
    </row>
    <row r="27" spans="1:6" ht="16.5" customHeight="1" x14ac:dyDescent="0.3">
      <c r="A27" s="15">
        <v>4</v>
      </c>
      <c r="B27" s="16">
        <v>45578353</v>
      </c>
      <c r="C27" s="16">
        <v>9793.2000000000007</v>
      </c>
      <c r="D27" s="17">
        <v>1.1000000000000001</v>
      </c>
      <c r="E27" s="19">
        <v>10.8</v>
      </c>
      <c r="F27" s="316">
        <v>14.2</v>
      </c>
    </row>
    <row r="28" spans="1:6" ht="16.5" customHeight="1" x14ac:dyDescent="0.3">
      <c r="A28" s="15">
        <v>5</v>
      </c>
      <c r="B28" s="16">
        <v>45538907</v>
      </c>
      <c r="C28" s="16">
        <v>9839.9</v>
      </c>
      <c r="D28" s="17">
        <v>1.1000000000000001</v>
      </c>
      <c r="E28" s="19">
        <v>10.8</v>
      </c>
      <c r="F28" s="316">
        <v>14.3</v>
      </c>
    </row>
    <row r="29" spans="1:6" ht="16.5" customHeight="1" x14ac:dyDescent="0.3">
      <c r="A29" s="15">
        <v>6</v>
      </c>
      <c r="B29" s="20">
        <v>45645405</v>
      </c>
      <c r="C29" s="20">
        <v>9874.2000000000007</v>
      </c>
      <c r="D29" s="21">
        <v>1.1000000000000001</v>
      </c>
      <c r="E29" s="22">
        <v>10.8</v>
      </c>
      <c r="F29" s="316">
        <v>14.3</v>
      </c>
    </row>
    <row r="30" spans="1:6" ht="16.5" customHeight="1" x14ac:dyDescent="0.3">
      <c r="A30" s="23" t="s">
        <v>16</v>
      </c>
      <c r="B30" s="24">
        <f>AVERAGE(B24:B29)</f>
        <v>45526521.5</v>
      </c>
      <c r="C30" s="25">
        <f>AVERAGE(C24:C29)</f>
        <v>9757</v>
      </c>
      <c r="D30" s="26">
        <f>AVERAGE(D24:D29)</f>
        <v>1.0666666666666667</v>
      </c>
      <c r="E30" s="27">
        <f>AVERAGE(E24:E29)</f>
        <v>10.799999999999999</v>
      </c>
      <c r="F30" s="317">
        <f>AVERAGE(F24:F29)</f>
        <v>14.183333333333332</v>
      </c>
    </row>
    <row r="31" spans="1:6" ht="16.5" customHeight="1" x14ac:dyDescent="0.3">
      <c r="A31" s="28" t="s">
        <v>17</v>
      </c>
      <c r="B31" s="29">
        <f>(STDEV(B24:B29)/B30)</f>
        <v>2.1010584622795244E-3</v>
      </c>
      <c r="C31" s="30"/>
      <c r="D31" s="30"/>
      <c r="E31" s="31"/>
      <c r="F31" s="32"/>
    </row>
    <row r="32" spans="1:6" s="2" customFormat="1" ht="16.5" customHeight="1" x14ac:dyDescent="0.3">
      <c r="A32" s="33" t="s">
        <v>18</v>
      </c>
      <c r="B32" s="34">
        <f>COUNT(B24:B29)</f>
        <v>6</v>
      </c>
      <c r="C32" s="35"/>
      <c r="D32" s="36"/>
      <c r="E32" s="36"/>
      <c r="F32" s="37"/>
    </row>
    <row r="33" spans="1:6" s="2" customFormat="1" ht="15.75" customHeight="1" x14ac:dyDescent="0.25">
      <c r="A33" s="8"/>
      <c r="B33" s="8"/>
      <c r="C33" s="8"/>
      <c r="D33" s="8"/>
      <c r="E33" s="8"/>
    </row>
    <row r="34" spans="1:6" s="2" customFormat="1" ht="16.5" customHeight="1" x14ac:dyDescent="0.3">
      <c r="A34" s="9" t="s">
        <v>19</v>
      </c>
      <c r="B34" s="38" t="s">
        <v>20</v>
      </c>
      <c r="C34" s="39"/>
      <c r="D34" s="39"/>
      <c r="E34" s="39"/>
    </row>
    <row r="35" spans="1:6" ht="16.5" customHeight="1" x14ac:dyDescent="0.3">
      <c r="A35" s="9"/>
      <c r="B35" s="38" t="s">
        <v>21</v>
      </c>
      <c r="C35" s="39"/>
      <c r="D35" s="39"/>
      <c r="E35" s="39"/>
    </row>
    <row r="36" spans="1:6" ht="16.5" customHeight="1" x14ac:dyDescent="0.3">
      <c r="A36" s="9"/>
      <c r="B36" s="38" t="s">
        <v>22</v>
      </c>
      <c r="C36" s="39"/>
      <c r="D36" s="39"/>
      <c r="E36" s="39"/>
    </row>
    <row r="37" spans="1:6" ht="15.75" customHeight="1" x14ac:dyDescent="0.3">
      <c r="A37" s="8"/>
      <c r="B37" s="272" t="s">
        <v>132</v>
      </c>
      <c r="C37" s="272"/>
      <c r="D37" s="272"/>
      <c r="E37" s="8"/>
    </row>
    <row r="38" spans="1:6" ht="16.5" customHeight="1" x14ac:dyDescent="0.3">
      <c r="A38" s="4" t="s">
        <v>1</v>
      </c>
      <c r="B38" s="5" t="s">
        <v>23</v>
      </c>
    </row>
    <row r="39" spans="1:6" ht="16.5" customHeight="1" x14ac:dyDescent="0.3">
      <c r="A39" s="9" t="s">
        <v>4</v>
      </c>
      <c r="B39" s="6" t="s">
        <v>129</v>
      </c>
      <c r="C39" s="8"/>
      <c r="D39" s="8"/>
      <c r="E39" s="8"/>
    </row>
    <row r="40" spans="1:6" ht="16.5" customHeight="1" x14ac:dyDescent="0.3">
      <c r="A40" s="9" t="s">
        <v>6</v>
      </c>
      <c r="B40" s="10">
        <v>99.02</v>
      </c>
      <c r="C40" s="8"/>
      <c r="D40" s="8"/>
      <c r="E40" s="8"/>
    </row>
    <row r="41" spans="1:6" ht="16.5" customHeight="1" x14ac:dyDescent="0.3">
      <c r="A41" s="6" t="s">
        <v>7</v>
      </c>
      <c r="B41" s="10">
        <v>18.91</v>
      </c>
      <c r="C41" s="8"/>
      <c r="D41" s="8"/>
      <c r="E41" s="8"/>
    </row>
    <row r="42" spans="1:6" ht="16.5" customHeight="1" x14ac:dyDescent="0.3">
      <c r="A42" s="6" t="s">
        <v>9</v>
      </c>
      <c r="B42" s="11">
        <v>0.18909999999999999</v>
      </c>
      <c r="C42" s="8"/>
      <c r="D42" s="8"/>
      <c r="E42" s="8"/>
    </row>
    <row r="43" spans="1:6" ht="15.75" customHeight="1" x14ac:dyDescent="0.25">
      <c r="A43" s="8"/>
      <c r="B43" s="8"/>
      <c r="C43" s="8"/>
      <c r="D43" s="8"/>
      <c r="E43" s="8"/>
    </row>
    <row r="44" spans="1:6" ht="16.5" customHeight="1" x14ac:dyDescent="0.3">
      <c r="A44" s="12" t="s">
        <v>11</v>
      </c>
      <c r="B44" s="13" t="s">
        <v>12</v>
      </c>
      <c r="C44" s="12" t="s">
        <v>13</v>
      </c>
      <c r="D44" s="12" t="s">
        <v>14</v>
      </c>
      <c r="E44" s="13" t="s">
        <v>15</v>
      </c>
      <c r="F44" s="14" t="s">
        <v>131</v>
      </c>
    </row>
    <row r="45" spans="1:6" ht="16.5" customHeight="1" x14ac:dyDescent="0.3">
      <c r="A45" s="15">
        <v>1</v>
      </c>
      <c r="B45" s="16">
        <v>45357508</v>
      </c>
      <c r="C45" s="16">
        <v>9597.1</v>
      </c>
      <c r="D45" s="17">
        <v>1.1000000000000001</v>
      </c>
      <c r="E45" s="18">
        <v>10.8</v>
      </c>
      <c r="F45" s="316">
        <v>14</v>
      </c>
    </row>
    <row r="46" spans="1:6" ht="16.5" customHeight="1" x14ac:dyDescent="0.3">
      <c r="A46" s="15">
        <v>2</v>
      </c>
      <c r="B46" s="16">
        <v>45512050</v>
      </c>
      <c r="C46" s="16">
        <v>9680.9</v>
      </c>
      <c r="D46" s="17">
        <v>1</v>
      </c>
      <c r="E46" s="19">
        <v>10.8</v>
      </c>
      <c r="F46" s="316">
        <v>14.1</v>
      </c>
    </row>
    <row r="47" spans="1:6" ht="16.5" customHeight="1" x14ac:dyDescent="0.3">
      <c r="A47" s="15">
        <v>3</v>
      </c>
      <c r="B47" s="16">
        <v>45526906</v>
      </c>
      <c r="C47" s="16">
        <v>9756.7000000000007</v>
      </c>
      <c r="D47" s="17">
        <v>1</v>
      </c>
      <c r="E47" s="19">
        <v>10.8</v>
      </c>
      <c r="F47" s="316">
        <v>14.2</v>
      </c>
    </row>
    <row r="48" spans="1:6" ht="16.5" customHeight="1" x14ac:dyDescent="0.3">
      <c r="A48" s="15">
        <v>4</v>
      </c>
      <c r="B48" s="16">
        <v>45578353</v>
      </c>
      <c r="C48" s="16">
        <v>9793.2000000000007</v>
      </c>
      <c r="D48" s="17">
        <v>1.1000000000000001</v>
      </c>
      <c r="E48" s="19">
        <v>10.8</v>
      </c>
      <c r="F48" s="316">
        <v>14.2</v>
      </c>
    </row>
    <row r="49" spans="1:7" ht="16.5" customHeight="1" x14ac:dyDescent="0.3">
      <c r="A49" s="15">
        <v>5</v>
      </c>
      <c r="B49" s="16">
        <v>45538907</v>
      </c>
      <c r="C49" s="16">
        <v>9839.9</v>
      </c>
      <c r="D49" s="17">
        <v>1.1000000000000001</v>
      </c>
      <c r="E49" s="19">
        <v>10.8</v>
      </c>
      <c r="F49" s="316">
        <v>14.3</v>
      </c>
    </row>
    <row r="50" spans="1:7" ht="16.5" customHeight="1" x14ac:dyDescent="0.3">
      <c r="A50" s="15">
        <v>6</v>
      </c>
      <c r="B50" s="20">
        <v>45645405</v>
      </c>
      <c r="C50" s="20">
        <v>9874.2000000000007</v>
      </c>
      <c r="D50" s="21">
        <v>1.1000000000000001</v>
      </c>
      <c r="E50" s="22">
        <v>10.8</v>
      </c>
      <c r="F50" s="316">
        <v>14.3</v>
      </c>
    </row>
    <row r="51" spans="1:7" ht="16.5" customHeight="1" x14ac:dyDescent="0.3">
      <c r="A51" s="23" t="s">
        <v>16</v>
      </c>
      <c r="B51" s="24">
        <f>AVERAGE(B45:B50)</f>
        <v>45526521.5</v>
      </c>
      <c r="C51" s="25">
        <f>AVERAGE(C45:C50)</f>
        <v>9757</v>
      </c>
      <c r="D51" s="26">
        <f>AVERAGE(D45:D50)</f>
        <v>1.0666666666666667</v>
      </c>
      <c r="E51" s="27">
        <f>AVERAGE(E45:E50)</f>
        <v>10.799999999999999</v>
      </c>
      <c r="F51" s="40">
        <f>AVERAGE(F45:F50)</f>
        <v>14.183333333333332</v>
      </c>
    </row>
    <row r="52" spans="1:7" ht="16.5" customHeight="1" x14ac:dyDescent="0.3">
      <c r="A52" s="28" t="s">
        <v>17</v>
      </c>
      <c r="B52" s="29">
        <f>(STDEV(B45:B50)/B51)</f>
        <v>2.1010584622795244E-3</v>
      </c>
      <c r="C52" s="30"/>
      <c r="D52" s="30"/>
      <c r="E52" s="31"/>
      <c r="F52" s="32"/>
    </row>
    <row r="53" spans="1:7" s="2" customFormat="1" ht="16.5" customHeight="1" x14ac:dyDescent="0.3">
      <c r="A53" s="33" t="s">
        <v>18</v>
      </c>
      <c r="B53" s="34">
        <f>COUNT(B45:B50)</f>
        <v>6</v>
      </c>
      <c r="C53" s="35"/>
      <c r="D53" s="36"/>
      <c r="E53" s="36"/>
      <c r="F53" s="37"/>
    </row>
    <row r="54" spans="1:7" s="2" customFormat="1" ht="15.75" customHeight="1" x14ac:dyDescent="0.25">
      <c r="A54" s="8"/>
      <c r="B54" s="8"/>
      <c r="C54" s="8"/>
      <c r="D54" s="8"/>
      <c r="E54" s="8"/>
    </row>
    <row r="55" spans="1:7" s="2" customFormat="1" ht="16.5" customHeight="1" x14ac:dyDescent="0.3">
      <c r="A55" s="9" t="s">
        <v>19</v>
      </c>
      <c r="B55" s="38" t="s">
        <v>20</v>
      </c>
      <c r="C55" s="39"/>
      <c r="D55" s="39"/>
      <c r="E55" s="39"/>
    </row>
    <row r="56" spans="1:7" ht="16.5" customHeight="1" x14ac:dyDescent="0.3">
      <c r="A56" s="9"/>
      <c r="B56" s="38" t="s">
        <v>21</v>
      </c>
      <c r="C56" s="39"/>
      <c r="D56" s="39"/>
      <c r="E56" s="39"/>
    </row>
    <row r="57" spans="1:7" ht="16.5" customHeight="1" x14ac:dyDescent="0.3">
      <c r="A57" s="9"/>
      <c r="B57" s="38" t="s">
        <v>22</v>
      </c>
      <c r="C57" s="39"/>
      <c r="D57" s="39"/>
      <c r="E57" s="39"/>
    </row>
    <row r="58" spans="1:7" ht="14.25" customHeight="1" thickBot="1" x14ac:dyDescent="0.35">
      <c r="A58" s="41"/>
      <c r="B58" s="273" t="s">
        <v>132</v>
      </c>
      <c r="C58" s="273"/>
      <c r="D58" s="273"/>
      <c r="F58" s="42"/>
      <c r="G58" s="42"/>
    </row>
    <row r="59" spans="1:7" ht="15" customHeight="1" x14ac:dyDescent="0.3">
      <c r="B59" s="274" t="s">
        <v>24</v>
      </c>
      <c r="C59" s="274"/>
      <c r="E59" s="43" t="s">
        <v>25</v>
      </c>
      <c r="F59" s="44"/>
      <c r="G59" s="43" t="s">
        <v>26</v>
      </c>
    </row>
    <row r="60" spans="1:7" ht="15" customHeight="1" x14ac:dyDescent="0.3">
      <c r="A60" s="45" t="s">
        <v>27</v>
      </c>
      <c r="B60" s="46"/>
      <c r="C60" s="46"/>
      <c r="E60" s="46"/>
      <c r="G60" s="46"/>
    </row>
    <row r="61" spans="1:7" ht="15" customHeight="1" x14ac:dyDescent="0.3">
      <c r="A61" s="45" t="s">
        <v>28</v>
      </c>
      <c r="B61" s="47"/>
      <c r="C61" s="47"/>
      <c r="E61" s="47"/>
      <c r="G61" s="48"/>
    </row>
  </sheetData>
  <sheetProtection formatCells="0" formatColumns="0" formatRows="0" insertColumns="0" insertRows="0" insertHyperlinks="0" deleteColumns="0" deleteRows="0" sort="0" autoFilter="0" pivotTables="0"/>
  <mergeCells count="4">
    <mergeCell ref="A15:E15"/>
    <mergeCell ref="B37:D37"/>
    <mergeCell ref="B58:D58"/>
    <mergeCell ref="B59:C59"/>
  </mergeCells>
  <pageMargins left="0.7" right="0.7" top="0.75" bottom="0.75" header="0.3" footer="0.3"/>
  <pageSetup scale="50" fitToHeight="0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48" zoomScale="55" zoomScaleNormal="40" zoomScalePageLayoutView="55" workbookViewId="0">
      <selection activeCell="B63" sqref="B6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  <col min="13" max="16384" width="9.140625" style="42"/>
  </cols>
  <sheetData>
    <row r="1" spans="1:9" ht="18.75" customHeight="1" x14ac:dyDescent="0.25">
      <c r="A1" s="307" t="s">
        <v>43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 x14ac:dyDescent="0.25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 x14ac:dyDescent="0.25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 x14ac:dyDescent="0.25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 x14ac:dyDescent="0.25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 x14ac:dyDescent="0.25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 x14ac:dyDescent="0.25">
      <c r="A7" s="307"/>
      <c r="B7" s="307"/>
      <c r="C7" s="307"/>
      <c r="D7" s="307"/>
      <c r="E7" s="307"/>
      <c r="F7" s="307"/>
      <c r="G7" s="307"/>
      <c r="H7" s="307"/>
      <c r="I7" s="307"/>
    </row>
    <row r="8" spans="1:9" x14ac:dyDescent="0.25">
      <c r="A8" s="308" t="s">
        <v>44</v>
      </c>
      <c r="B8" s="308"/>
      <c r="C8" s="308"/>
      <c r="D8" s="308"/>
      <c r="E8" s="308"/>
      <c r="F8" s="308"/>
      <c r="G8" s="308"/>
      <c r="H8" s="308"/>
      <c r="I8" s="308"/>
    </row>
    <row r="9" spans="1:9" x14ac:dyDescent="0.25">
      <c r="A9" s="308"/>
      <c r="B9" s="308"/>
      <c r="C9" s="308"/>
      <c r="D9" s="308"/>
      <c r="E9" s="308"/>
      <c r="F9" s="308"/>
      <c r="G9" s="308"/>
      <c r="H9" s="308"/>
      <c r="I9" s="308"/>
    </row>
    <row r="10" spans="1:9" x14ac:dyDescent="0.25">
      <c r="A10" s="308"/>
      <c r="B10" s="308"/>
      <c r="C10" s="308"/>
      <c r="D10" s="308"/>
      <c r="E10" s="308"/>
      <c r="F10" s="308"/>
      <c r="G10" s="308"/>
      <c r="H10" s="308"/>
      <c r="I10" s="308"/>
    </row>
    <row r="11" spans="1:9" x14ac:dyDescent="0.25">
      <c r="A11" s="308"/>
      <c r="B11" s="308"/>
      <c r="C11" s="308"/>
      <c r="D11" s="308"/>
      <c r="E11" s="308"/>
      <c r="F11" s="308"/>
      <c r="G11" s="308"/>
      <c r="H11" s="308"/>
      <c r="I11" s="308"/>
    </row>
    <row r="12" spans="1:9" x14ac:dyDescent="0.25">
      <c r="A12" s="308"/>
      <c r="B12" s="308"/>
      <c r="C12" s="308"/>
      <c r="D12" s="308"/>
      <c r="E12" s="308"/>
      <c r="F12" s="308"/>
      <c r="G12" s="308"/>
      <c r="H12" s="308"/>
      <c r="I12" s="308"/>
    </row>
    <row r="13" spans="1:9" x14ac:dyDescent="0.25">
      <c r="A13" s="308"/>
      <c r="B13" s="308"/>
      <c r="C13" s="308"/>
      <c r="D13" s="308"/>
      <c r="E13" s="308"/>
      <c r="F13" s="308"/>
      <c r="G13" s="308"/>
      <c r="H13" s="308"/>
      <c r="I13" s="308"/>
    </row>
    <row r="14" spans="1:9" x14ac:dyDescent="0.25">
      <c r="A14" s="308"/>
      <c r="B14" s="308"/>
      <c r="C14" s="308"/>
      <c r="D14" s="308"/>
      <c r="E14" s="308"/>
      <c r="F14" s="308"/>
      <c r="G14" s="308"/>
      <c r="H14" s="308"/>
      <c r="I14" s="308"/>
    </row>
    <row r="15" spans="1:9" ht="19.5" customHeight="1" thickBot="1" x14ac:dyDescent="0.35">
      <c r="A15" s="49"/>
    </row>
    <row r="16" spans="1:9" ht="19.5" customHeight="1" thickBot="1" x14ac:dyDescent="0.35">
      <c r="A16" s="309" t="s">
        <v>29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45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50" t="s">
        <v>31</v>
      </c>
      <c r="B18" s="313" t="s">
        <v>5</v>
      </c>
      <c r="C18" s="313"/>
      <c r="D18" s="51"/>
      <c r="E18" s="52"/>
      <c r="F18" s="53"/>
      <c r="G18" s="53"/>
      <c r="H18" s="53"/>
    </row>
    <row r="19" spans="1:14" ht="26.25" customHeight="1" x14ac:dyDescent="0.4">
      <c r="A19" s="50" t="s">
        <v>32</v>
      </c>
      <c r="B19" s="54" t="s">
        <v>133</v>
      </c>
      <c r="C19" s="53">
        <v>1</v>
      </c>
      <c r="D19" s="53"/>
      <c r="E19" s="53"/>
      <c r="F19" s="53"/>
      <c r="G19" s="53"/>
      <c r="H19" s="53"/>
    </row>
    <row r="20" spans="1:14" ht="26.25" customHeight="1" x14ac:dyDescent="0.4">
      <c r="A20" s="50" t="s">
        <v>33</v>
      </c>
      <c r="B20" s="314" t="s">
        <v>8</v>
      </c>
      <c r="C20" s="314"/>
      <c r="D20" s="53"/>
      <c r="E20" s="53"/>
      <c r="F20" s="53"/>
      <c r="G20" s="53"/>
      <c r="H20" s="53"/>
    </row>
    <row r="21" spans="1:14" ht="26.25" customHeight="1" x14ac:dyDescent="0.4">
      <c r="A21" s="50" t="s">
        <v>34</v>
      </c>
      <c r="B21" s="314" t="s">
        <v>10</v>
      </c>
      <c r="C21" s="314"/>
      <c r="D21" s="314"/>
      <c r="E21" s="314"/>
      <c r="F21" s="314"/>
      <c r="G21" s="314"/>
      <c r="H21" s="314"/>
      <c r="I21" s="55"/>
    </row>
    <row r="22" spans="1:14" ht="26.25" customHeight="1" x14ac:dyDescent="0.4">
      <c r="A22" s="50" t="s">
        <v>35</v>
      </c>
      <c r="B22" s="56" t="s">
        <v>130</v>
      </c>
      <c r="C22" s="53"/>
      <c r="D22" s="53"/>
      <c r="E22" s="53"/>
      <c r="F22" s="53"/>
      <c r="G22" s="53"/>
      <c r="H22" s="53"/>
    </row>
    <row r="23" spans="1:14" ht="26.25" customHeight="1" x14ac:dyDescent="0.4">
      <c r="A23" s="50" t="s">
        <v>36</v>
      </c>
      <c r="B23" s="56"/>
      <c r="C23" s="53"/>
      <c r="D23" s="53"/>
      <c r="E23" s="53"/>
      <c r="F23" s="53"/>
      <c r="G23" s="53"/>
      <c r="H23" s="53"/>
    </row>
    <row r="24" spans="1:14" ht="18.75" x14ac:dyDescent="0.3">
      <c r="A24" s="50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4</v>
      </c>
      <c r="B26" s="313" t="s">
        <v>129</v>
      </c>
      <c r="C26" s="313"/>
    </row>
    <row r="27" spans="1:14" ht="26.25" customHeight="1" x14ac:dyDescent="0.4">
      <c r="A27" s="60" t="s">
        <v>46</v>
      </c>
      <c r="B27" s="315" t="s">
        <v>134</v>
      </c>
      <c r="C27" s="315"/>
    </row>
    <row r="28" spans="1:14" ht="27" customHeight="1" thickBot="1" x14ac:dyDescent="0.45">
      <c r="A28" s="60" t="s">
        <v>6</v>
      </c>
      <c r="B28" s="61">
        <v>99.02</v>
      </c>
    </row>
    <row r="29" spans="1:14" s="12" customFormat="1" ht="27" customHeight="1" thickBot="1" x14ac:dyDescent="0.45">
      <c r="A29" s="60" t="s">
        <v>47</v>
      </c>
      <c r="B29" s="62">
        <v>0</v>
      </c>
      <c r="C29" s="287" t="s">
        <v>48</v>
      </c>
      <c r="D29" s="288"/>
      <c r="E29" s="288"/>
      <c r="F29" s="288"/>
      <c r="G29" s="289"/>
      <c r="I29" s="63"/>
      <c r="J29" s="63"/>
      <c r="K29" s="63"/>
      <c r="L29" s="63"/>
    </row>
    <row r="30" spans="1:14" s="12" customFormat="1" ht="19.5" customHeight="1" thickBot="1" x14ac:dyDescent="0.35">
      <c r="A30" s="60" t="s">
        <v>49</v>
      </c>
      <c r="B30" s="64">
        <f>B28-B29</f>
        <v>99.02</v>
      </c>
      <c r="C30" s="65"/>
      <c r="D30" s="65"/>
      <c r="E30" s="65"/>
      <c r="F30" s="65"/>
      <c r="G30" s="66"/>
      <c r="I30" s="63"/>
      <c r="J30" s="63"/>
      <c r="K30" s="63"/>
      <c r="L30" s="63"/>
    </row>
    <row r="31" spans="1:14" s="12" customFormat="1" ht="27" customHeight="1" thickBot="1" x14ac:dyDescent="0.45">
      <c r="A31" s="60" t="s">
        <v>50</v>
      </c>
      <c r="B31" s="67">
        <v>1</v>
      </c>
      <c r="C31" s="290" t="s">
        <v>51</v>
      </c>
      <c r="D31" s="291"/>
      <c r="E31" s="291"/>
      <c r="F31" s="291"/>
      <c r="G31" s="291"/>
      <c r="H31" s="292"/>
      <c r="I31" s="63"/>
      <c r="J31" s="63"/>
      <c r="K31" s="63"/>
      <c r="L31" s="63"/>
    </row>
    <row r="32" spans="1:14" s="12" customFormat="1" ht="27" customHeight="1" thickBot="1" x14ac:dyDescent="0.45">
      <c r="A32" s="60" t="s">
        <v>52</v>
      </c>
      <c r="B32" s="67">
        <v>1</v>
      </c>
      <c r="C32" s="290" t="s">
        <v>53</v>
      </c>
      <c r="D32" s="291"/>
      <c r="E32" s="291"/>
      <c r="F32" s="291"/>
      <c r="G32" s="291"/>
      <c r="H32" s="292"/>
      <c r="I32" s="63"/>
      <c r="J32" s="63"/>
      <c r="K32" s="63"/>
      <c r="L32" s="68"/>
      <c r="M32" s="68"/>
      <c r="N32" s="69"/>
    </row>
    <row r="33" spans="1:14" s="12" customFormat="1" ht="17.25" customHeight="1" x14ac:dyDescent="0.3">
      <c r="A33" s="60"/>
      <c r="B33" s="70"/>
      <c r="C33" s="71"/>
      <c r="D33" s="71"/>
      <c r="E33" s="71"/>
      <c r="F33" s="71"/>
      <c r="G33" s="71"/>
      <c r="H33" s="71"/>
      <c r="I33" s="63"/>
      <c r="J33" s="63"/>
      <c r="K33" s="63"/>
      <c r="L33" s="68"/>
      <c r="M33" s="68"/>
      <c r="N33" s="69"/>
    </row>
    <row r="34" spans="1:14" s="12" customFormat="1" ht="18.75" x14ac:dyDescent="0.3">
      <c r="A34" s="60" t="s">
        <v>54</v>
      </c>
      <c r="B34" s="72">
        <f>B31/B32</f>
        <v>1</v>
      </c>
      <c r="C34" s="49" t="s">
        <v>55</v>
      </c>
      <c r="D34" s="49"/>
      <c r="E34" s="49"/>
      <c r="F34" s="49"/>
      <c r="G34" s="49"/>
      <c r="I34" s="63"/>
      <c r="J34" s="63"/>
      <c r="K34" s="63"/>
      <c r="L34" s="68"/>
      <c r="M34" s="68"/>
      <c r="N34" s="69"/>
    </row>
    <row r="35" spans="1:14" s="12" customFormat="1" ht="19.5" customHeight="1" thickBot="1" x14ac:dyDescent="0.35">
      <c r="A35" s="60"/>
      <c r="B35" s="64"/>
      <c r="G35" s="49"/>
      <c r="I35" s="63"/>
      <c r="J35" s="63"/>
      <c r="K35" s="63"/>
      <c r="L35" s="68"/>
      <c r="M35" s="68"/>
      <c r="N35" s="69"/>
    </row>
    <row r="36" spans="1:14" s="12" customFormat="1" ht="27" customHeight="1" thickBot="1" x14ac:dyDescent="0.45">
      <c r="A36" s="73" t="s">
        <v>56</v>
      </c>
      <c r="B36" s="74">
        <v>100</v>
      </c>
      <c r="C36" s="49"/>
      <c r="D36" s="293" t="s">
        <v>57</v>
      </c>
      <c r="E36" s="295"/>
      <c r="F36" s="293" t="s">
        <v>58</v>
      </c>
      <c r="G36" s="294"/>
      <c r="J36" s="63"/>
      <c r="K36" s="63"/>
      <c r="L36" s="68"/>
      <c r="M36" s="68"/>
      <c r="N36" s="69"/>
    </row>
    <row r="37" spans="1:14" s="12" customFormat="1" ht="27" customHeight="1" thickBot="1" x14ac:dyDescent="0.45">
      <c r="A37" s="75" t="s">
        <v>59</v>
      </c>
      <c r="B37" s="76">
        <v>1</v>
      </c>
      <c r="C37" s="77" t="s">
        <v>60</v>
      </c>
      <c r="D37" s="78" t="s">
        <v>61</v>
      </c>
      <c r="E37" s="79" t="s">
        <v>62</v>
      </c>
      <c r="F37" s="78" t="s">
        <v>61</v>
      </c>
      <c r="G37" s="80" t="s">
        <v>62</v>
      </c>
      <c r="I37" s="81" t="s">
        <v>63</v>
      </c>
      <c r="J37" s="63"/>
      <c r="K37" s="63"/>
      <c r="L37" s="68"/>
      <c r="M37" s="68"/>
      <c r="N37" s="69"/>
    </row>
    <row r="38" spans="1:14" s="12" customFormat="1" ht="26.25" customHeight="1" x14ac:dyDescent="0.4">
      <c r="A38" s="75" t="s">
        <v>64</v>
      </c>
      <c r="B38" s="76">
        <v>1</v>
      </c>
      <c r="C38" s="82">
        <v>1</v>
      </c>
      <c r="D38" s="83">
        <v>45500008</v>
      </c>
      <c r="E38" s="84">
        <f>IF(ISBLANK(D38),"-",$D$48/$D$45*D38)</f>
        <v>38879171.779793106</v>
      </c>
      <c r="F38" s="83">
        <v>40051273</v>
      </c>
      <c r="G38" s="85">
        <f>IF(ISBLANK(F38),"-",$D$48/$F$45*F38)</f>
        <v>38567494.701952793</v>
      </c>
      <c r="I38" s="86"/>
      <c r="J38" s="63"/>
      <c r="K38" s="63"/>
      <c r="L38" s="68"/>
      <c r="M38" s="68"/>
      <c r="N38" s="69"/>
    </row>
    <row r="39" spans="1:14" s="12" customFormat="1" ht="26.25" customHeight="1" x14ac:dyDescent="0.4">
      <c r="A39" s="75" t="s">
        <v>65</v>
      </c>
      <c r="B39" s="76">
        <v>1</v>
      </c>
      <c r="C39" s="87">
        <v>2</v>
      </c>
      <c r="D39" s="88">
        <v>45743910</v>
      </c>
      <c r="E39" s="89">
        <f>IF(ISBLANK(D39),"-",$D$48/$D$45*D39)</f>
        <v>39087582.902609505</v>
      </c>
      <c r="F39" s="88">
        <v>40171593</v>
      </c>
      <c r="G39" s="90">
        <f>IF(ISBLANK(F39),"-",$D$48/$F$45*F39)</f>
        <v>38683357.210556179</v>
      </c>
      <c r="I39" s="275">
        <f>ABS((F43/D43*D42)-F42)/D42</f>
        <v>8.4322008806976077E-3</v>
      </c>
      <c r="J39" s="63"/>
      <c r="K39" s="63"/>
      <c r="L39" s="68"/>
      <c r="M39" s="68"/>
      <c r="N39" s="69"/>
    </row>
    <row r="40" spans="1:14" ht="26.25" customHeight="1" x14ac:dyDescent="0.4">
      <c r="A40" s="75" t="s">
        <v>66</v>
      </c>
      <c r="B40" s="76">
        <v>1</v>
      </c>
      <c r="C40" s="87">
        <v>3</v>
      </c>
      <c r="D40" s="88">
        <v>45804787</v>
      </c>
      <c r="E40" s="89">
        <f>IF(ISBLANK(D40),"-",$D$48/$D$45*D40)</f>
        <v>39139601.516330153</v>
      </c>
      <c r="F40" s="88">
        <v>40233213</v>
      </c>
      <c r="G40" s="90">
        <f>IF(ISBLANK(F40),"-",$D$48/$F$45*F40)</f>
        <v>38742694.376282081</v>
      </c>
      <c r="I40" s="275"/>
      <c r="L40" s="68"/>
      <c r="M40" s="68"/>
      <c r="N40" s="49"/>
    </row>
    <row r="41" spans="1:14" ht="27" customHeight="1" thickBot="1" x14ac:dyDescent="0.45">
      <c r="A41" s="75" t="s">
        <v>67</v>
      </c>
      <c r="B41" s="76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8"/>
      <c r="M41" s="68"/>
      <c r="N41" s="49"/>
    </row>
    <row r="42" spans="1:14" ht="27" customHeight="1" thickBot="1" x14ac:dyDescent="0.45">
      <c r="A42" s="75" t="s">
        <v>68</v>
      </c>
      <c r="B42" s="76">
        <v>1</v>
      </c>
      <c r="C42" s="96" t="s">
        <v>69</v>
      </c>
      <c r="D42" s="97">
        <f>AVERAGE(D38:D41)</f>
        <v>45682901.666666664</v>
      </c>
      <c r="E42" s="98">
        <f>AVERAGE(E38:E41)</f>
        <v>39035452.066244252</v>
      </c>
      <c r="F42" s="97">
        <f>AVERAGE(F38:F41)</f>
        <v>40152026.333333336</v>
      </c>
      <c r="G42" s="99">
        <f>AVERAGE(G38:G41)</f>
        <v>38664515.429597013</v>
      </c>
      <c r="H42" s="100"/>
    </row>
    <row r="43" spans="1:14" ht="26.25" customHeight="1" x14ac:dyDescent="0.4">
      <c r="A43" s="75" t="s">
        <v>70</v>
      </c>
      <c r="B43" s="76">
        <v>1</v>
      </c>
      <c r="C43" s="101" t="s">
        <v>71</v>
      </c>
      <c r="D43" s="102">
        <v>18.91</v>
      </c>
      <c r="E43" s="49"/>
      <c r="F43" s="102">
        <v>16.78</v>
      </c>
      <c r="H43" s="100"/>
    </row>
    <row r="44" spans="1:14" ht="26.25" customHeight="1" x14ac:dyDescent="0.4">
      <c r="A44" s="75" t="s">
        <v>72</v>
      </c>
      <c r="B44" s="76">
        <v>1</v>
      </c>
      <c r="C44" s="103" t="s">
        <v>73</v>
      </c>
      <c r="D44" s="104">
        <f>D43*$B$34</f>
        <v>18.91</v>
      </c>
      <c r="E44" s="105"/>
      <c r="F44" s="104">
        <f>F43*$B$34</f>
        <v>16.78</v>
      </c>
      <c r="H44" s="100"/>
    </row>
    <row r="45" spans="1:14" ht="19.5" customHeight="1" thickBot="1" x14ac:dyDescent="0.35">
      <c r="A45" s="75" t="s">
        <v>74</v>
      </c>
      <c r="B45" s="87">
        <f>(B44/B43)*(B42/B41)*(B40/B39)*(B38/B37)*B36</f>
        <v>100</v>
      </c>
      <c r="C45" s="103" t="s">
        <v>75</v>
      </c>
      <c r="D45" s="106">
        <f>D44*$B$30/100</f>
        <v>18.724682000000001</v>
      </c>
      <c r="E45" s="107"/>
      <c r="F45" s="106">
        <f>F44*$B$30/100</f>
        <v>16.615556000000002</v>
      </c>
      <c r="H45" s="100"/>
    </row>
    <row r="46" spans="1:14" ht="19.5" customHeight="1" thickBot="1" x14ac:dyDescent="0.35">
      <c r="A46" s="276" t="s">
        <v>76</v>
      </c>
      <c r="B46" s="280"/>
      <c r="C46" s="103" t="s">
        <v>77</v>
      </c>
      <c r="D46" s="108">
        <f>D45/$B$45</f>
        <v>0.18724682000000001</v>
      </c>
      <c r="E46" s="109"/>
      <c r="F46" s="110">
        <f>F45/$B$45</f>
        <v>0.16615556000000001</v>
      </c>
      <c r="H46" s="100"/>
    </row>
    <row r="47" spans="1:14" ht="27" customHeight="1" thickBot="1" x14ac:dyDescent="0.45">
      <c r="A47" s="278"/>
      <c r="B47" s="281"/>
      <c r="C47" s="111" t="s">
        <v>78</v>
      </c>
      <c r="D47" s="112">
        <v>0.16</v>
      </c>
      <c r="E47" s="113"/>
      <c r="F47" s="109"/>
      <c r="H47" s="100"/>
    </row>
    <row r="48" spans="1:14" ht="18.75" x14ac:dyDescent="0.3">
      <c r="C48" s="114" t="s">
        <v>79</v>
      </c>
      <c r="D48" s="106">
        <f>D47*$B$45</f>
        <v>16</v>
      </c>
      <c r="F48" s="115"/>
      <c r="H48" s="100"/>
    </row>
    <row r="49" spans="1:12" ht="19.5" customHeight="1" thickBot="1" x14ac:dyDescent="0.35">
      <c r="C49" s="116" t="s">
        <v>80</v>
      </c>
      <c r="D49" s="117">
        <f>D48/B34</f>
        <v>16</v>
      </c>
      <c r="F49" s="115"/>
      <c r="H49" s="100"/>
    </row>
    <row r="50" spans="1:12" ht="18.75" x14ac:dyDescent="0.3">
      <c r="C50" s="73" t="s">
        <v>81</v>
      </c>
      <c r="D50" s="118">
        <f>AVERAGE(E38:E41,G38:G41)</f>
        <v>38849983.747920632</v>
      </c>
      <c r="F50" s="119"/>
      <c r="H50" s="100"/>
    </row>
    <row r="51" spans="1:12" ht="18.75" x14ac:dyDescent="0.3">
      <c r="C51" s="75" t="s">
        <v>82</v>
      </c>
      <c r="D51" s="120">
        <f>STDEV(E38:E41,G38:G41)/D50</f>
        <v>5.8725567477386489E-3</v>
      </c>
      <c r="F51" s="119"/>
      <c r="H51" s="100"/>
    </row>
    <row r="52" spans="1:12" ht="19.5" customHeight="1" thickBot="1" x14ac:dyDescent="0.35">
      <c r="C52" s="121" t="s">
        <v>18</v>
      </c>
      <c r="D52" s="122">
        <f>COUNT(E38:E41,G38:G41)</f>
        <v>6</v>
      </c>
      <c r="F52" s="119"/>
    </row>
    <row r="54" spans="1:12" ht="18.75" x14ac:dyDescent="0.3">
      <c r="A54" s="123" t="s">
        <v>1</v>
      </c>
      <c r="B54" s="124" t="s">
        <v>83</v>
      </c>
    </row>
    <row r="55" spans="1:12" ht="18.75" x14ac:dyDescent="0.3">
      <c r="A55" s="49" t="s">
        <v>84</v>
      </c>
      <c r="B55" s="125" t="str">
        <f>B21</f>
        <v>Each tablet contains: Sulphamethoxazole B.P. 800 mg and Trimethoprim B.P. 160 mg.</v>
      </c>
    </row>
    <row r="56" spans="1:12" ht="26.25" customHeight="1" x14ac:dyDescent="0.4">
      <c r="A56" s="125" t="s">
        <v>85</v>
      </c>
      <c r="B56" s="126">
        <v>800</v>
      </c>
      <c r="C56" s="49" t="str">
        <f>B20</f>
        <v>Sulfamethoxazole &amp; Trimethoprim</v>
      </c>
      <c r="H56" s="105"/>
    </row>
    <row r="57" spans="1:12" ht="18.75" x14ac:dyDescent="0.3">
      <c r="A57" s="125" t="s">
        <v>86</v>
      </c>
      <c r="B57" s="127">
        <f>'Uniformity (2)'!C46</f>
        <v>1038.9550000000002</v>
      </c>
      <c r="H57" s="105"/>
    </row>
    <row r="58" spans="1:12" ht="19.5" customHeight="1" thickBot="1" x14ac:dyDescent="0.35">
      <c r="H58" s="105"/>
    </row>
    <row r="59" spans="1:12" s="12" customFormat="1" ht="27" customHeight="1" thickBot="1" x14ac:dyDescent="0.45">
      <c r="A59" s="73" t="s">
        <v>87</v>
      </c>
      <c r="B59" s="74">
        <v>100</v>
      </c>
      <c r="C59" s="49"/>
      <c r="D59" s="128" t="s">
        <v>88</v>
      </c>
      <c r="E59" s="129" t="s">
        <v>60</v>
      </c>
      <c r="F59" s="129" t="s">
        <v>61</v>
      </c>
      <c r="G59" s="129" t="s">
        <v>89</v>
      </c>
      <c r="H59" s="77" t="s">
        <v>90</v>
      </c>
      <c r="L59" s="63"/>
    </row>
    <row r="60" spans="1:12" s="12" customFormat="1" ht="26.25" customHeight="1" x14ac:dyDescent="0.4">
      <c r="A60" s="75" t="s">
        <v>91</v>
      </c>
      <c r="B60" s="76">
        <v>2</v>
      </c>
      <c r="C60" s="296" t="s">
        <v>92</v>
      </c>
      <c r="D60" s="299">
        <v>1038.02</v>
      </c>
      <c r="E60" s="130">
        <v>1</v>
      </c>
      <c r="F60" s="131">
        <v>36824387</v>
      </c>
      <c r="G60" s="132">
        <f>IF(ISBLANK(F60),"-",(F60/$D$50*$D$47*$B$68)*($B$57/$D$60))</f>
        <v>758.97188383653759</v>
      </c>
      <c r="H60" s="133">
        <f t="shared" ref="H60:H71" si="0">IF(ISBLANK(F60),"-",(G60/$B$56)*100)</f>
        <v>94.871485479567198</v>
      </c>
      <c r="L60" s="63"/>
    </row>
    <row r="61" spans="1:12" s="12" customFormat="1" ht="26.25" customHeight="1" x14ac:dyDescent="0.4">
      <c r="A61" s="75" t="s">
        <v>93</v>
      </c>
      <c r="B61" s="76">
        <v>100</v>
      </c>
      <c r="C61" s="297"/>
      <c r="D61" s="300"/>
      <c r="E61" s="134">
        <v>2</v>
      </c>
      <c r="F61" s="88">
        <v>36965486</v>
      </c>
      <c r="G61" s="135">
        <f>IF(ISBLANK(F61),"-",(F61/$D$50*$D$47*$B$68)*($B$57/$D$60))</f>
        <v>761.88001571765881</v>
      </c>
      <c r="H61" s="136">
        <f t="shared" si="0"/>
        <v>95.235001964707351</v>
      </c>
      <c r="L61" s="63"/>
    </row>
    <row r="62" spans="1:12" s="12" customFormat="1" ht="26.25" customHeight="1" x14ac:dyDescent="0.4">
      <c r="A62" s="75" t="s">
        <v>94</v>
      </c>
      <c r="B62" s="76">
        <v>1</v>
      </c>
      <c r="C62" s="297"/>
      <c r="D62" s="300"/>
      <c r="E62" s="134">
        <v>3</v>
      </c>
      <c r="F62" s="137">
        <v>36841841</v>
      </c>
      <c r="G62" s="135">
        <f>IF(ISBLANK(F62),"-",(F62/$D$50*$D$47*$B$68)*($B$57/$D$60))</f>
        <v>759.33162085702031</v>
      </c>
      <c r="H62" s="136">
        <f t="shared" si="0"/>
        <v>94.916452607127539</v>
      </c>
      <c r="L62" s="63"/>
    </row>
    <row r="63" spans="1:12" ht="27" customHeight="1" thickBot="1" x14ac:dyDescent="0.45">
      <c r="A63" s="75" t="s">
        <v>95</v>
      </c>
      <c r="B63" s="76">
        <v>1</v>
      </c>
      <c r="C63" s="298"/>
      <c r="D63" s="301"/>
      <c r="E63" s="138">
        <v>4</v>
      </c>
      <c r="F63" s="139"/>
      <c r="G63" s="135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5" t="s">
        <v>96</v>
      </c>
      <c r="B64" s="76">
        <v>1</v>
      </c>
      <c r="C64" s="296" t="s">
        <v>97</v>
      </c>
      <c r="D64" s="299">
        <v>1038.54</v>
      </c>
      <c r="E64" s="130">
        <v>1</v>
      </c>
      <c r="F64" s="131">
        <v>36921331</v>
      </c>
      <c r="G64" s="132">
        <f>IF(ISBLANK(F64),"-",(F64/$D$50*$D$47*$B$68)*($B$57/$D$64))</f>
        <v>760.58893579501466</v>
      </c>
      <c r="H64" s="133">
        <f t="shared" si="0"/>
        <v>95.073616974376833</v>
      </c>
    </row>
    <row r="65" spans="1:8" ht="26.25" customHeight="1" x14ac:dyDescent="0.4">
      <c r="A65" s="75" t="s">
        <v>98</v>
      </c>
      <c r="B65" s="76">
        <v>1</v>
      </c>
      <c r="C65" s="297"/>
      <c r="D65" s="300"/>
      <c r="E65" s="134">
        <v>2</v>
      </c>
      <c r="F65" s="88">
        <v>37093912</v>
      </c>
      <c r="G65" s="135">
        <f>IF(ISBLANK(F65),"-",(F65/$D$50*$D$47*$B$68)*($B$57/$D$64))</f>
        <v>764.14414888114209</v>
      </c>
      <c r="H65" s="136">
        <f t="shared" si="0"/>
        <v>95.518018610142761</v>
      </c>
    </row>
    <row r="66" spans="1:8" ht="26.25" customHeight="1" x14ac:dyDescent="0.4">
      <c r="A66" s="75" t="s">
        <v>99</v>
      </c>
      <c r="B66" s="76">
        <v>1</v>
      </c>
      <c r="C66" s="297"/>
      <c r="D66" s="300"/>
      <c r="E66" s="134">
        <v>3</v>
      </c>
      <c r="F66" s="88">
        <v>36859899</v>
      </c>
      <c r="G66" s="135">
        <f>IF(ISBLANK(F66),"-",(F66/$D$50*$D$47*$B$68)*($B$57/$D$64))</f>
        <v>759.32342075971542</v>
      </c>
      <c r="H66" s="136">
        <f t="shared" si="0"/>
        <v>94.915427594964427</v>
      </c>
    </row>
    <row r="67" spans="1:8" ht="27" customHeight="1" thickBot="1" x14ac:dyDescent="0.45">
      <c r="A67" s="75" t="s">
        <v>100</v>
      </c>
      <c r="B67" s="76">
        <v>1</v>
      </c>
      <c r="C67" s="298"/>
      <c r="D67" s="301"/>
      <c r="E67" s="138">
        <v>4</v>
      </c>
      <c r="F67" s="139"/>
      <c r="G67" s="140" t="str">
        <f>IF(ISBLANK(F67),"-",(F67/$D$50*$D$47*$B$68)*($B$57/$D$64))</f>
        <v>-</v>
      </c>
      <c r="H67" s="141" t="str">
        <f t="shared" si="0"/>
        <v>-</v>
      </c>
    </row>
    <row r="68" spans="1:8" ht="26.25" customHeight="1" x14ac:dyDescent="0.4">
      <c r="A68" s="75" t="s">
        <v>101</v>
      </c>
      <c r="B68" s="142">
        <f>(B67/B66)*(B65/B64)*(B63/B62)*(B61/B60)*B59</f>
        <v>5000</v>
      </c>
      <c r="C68" s="296" t="s">
        <v>102</v>
      </c>
      <c r="D68" s="299">
        <v>1040.67</v>
      </c>
      <c r="E68" s="130">
        <v>1</v>
      </c>
      <c r="F68" s="131">
        <v>36564070</v>
      </c>
      <c r="G68" s="132">
        <f>IF(ISBLANK(F68),"-",(F68/$D$50*$D$47*$B$68)*($B$57/$D$68))</f>
        <v>751.68758882085046</v>
      </c>
      <c r="H68" s="136">
        <f t="shared" si="0"/>
        <v>93.960948602606308</v>
      </c>
    </row>
    <row r="69" spans="1:8" ht="27" customHeight="1" thickBot="1" x14ac:dyDescent="0.45">
      <c r="A69" s="121" t="s">
        <v>103</v>
      </c>
      <c r="B69" s="143">
        <f>(D47*B68)/B56*B57</f>
        <v>1038.9550000000002</v>
      </c>
      <c r="C69" s="297"/>
      <c r="D69" s="300"/>
      <c r="E69" s="134">
        <v>2</v>
      </c>
      <c r="F69" s="88">
        <v>36793403</v>
      </c>
      <c r="G69" s="135">
        <f>IF(ISBLANK(F69),"-",(F69/$D$50*$D$47*$B$68)*($B$57/$D$68))</f>
        <v>756.40223819678295</v>
      </c>
      <c r="H69" s="136">
        <f t="shared" si="0"/>
        <v>94.550279774597868</v>
      </c>
    </row>
    <row r="70" spans="1:8" ht="26.25" customHeight="1" x14ac:dyDescent="0.4">
      <c r="A70" s="303" t="s">
        <v>76</v>
      </c>
      <c r="B70" s="304"/>
      <c r="C70" s="297"/>
      <c r="D70" s="300"/>
      <c r="E70" s="134">
        <v>3</v>
      </c>
      <c r="F70" s="88">
        <v>36900154</v>
      </c>
      <c r="G70" s="135">
        <f>IF(ISBLANK(F70),"-",(F70/$D$50*$D$47*$B$68)*($B$57/$D$68))</f>
        <v>758.59683529153256</v>
      </c>
      <c r="H70" s="136">
        <f t="shared" si="0"/>
        <v>94.82460441144157</v>
      </c>
    </row>
    <row r="71" spans="1:8" ht="27" customHeight="1" thickBot="1" x14ac:dyDescent="0.45">
      <c r="A71" s="305"/>
      <c r="B71" s="306"/>
      <c r="C71" s="302"/>
      <c r="D71" s="301"/>
      <c r="E71" s="138">
        <v>4</v>
      </c>
      <c r="F71" s="139"/>
      <c r="G71" s="140" t="str">
        <f>IF(ISBLANK(F71),"-",(F71/$D$50*$D$47*$B$68)*($B$57/$D$68))</f>
        <v>-</v>
      </c>
      <c r="H71" s="141" t="str">
        <f t="shared" si="0"/>
        <v>-</v>
      </c>
    </row>
    <row r="72" spans="1:8" ht="26.25" customHeight="1" x14ac:dyDescent="0.4">
      <c r="A72" s="105"/>
      <c r="B72" s="105"/>
      <c r="C72" s="105"/>
      <c r="D72" s="105"/>
      <c r="E72" s="105"/>
      <c r="F72" s="144" t="s">
        <v>69</v>
      </c>
      <c r="G72" s="145">
        <f>AVERAGE(G60:G71)</f>
        <v>758.99185423958397</v>
      </c>
      <c r="H72" s="146">
        <f>AVERAGE(H60:H71)</f>
        <v>94.873981779947997</v>
      </c>
    </row>
    <row r="73" spans="1:8" ht="26.25" customHeight="1" x14ac:dyDescent="0.4">
      <c r="C73" s="105"/>
      <c r="D73" s="105"/>
      <c r="E73" s="105"/>
      <c r="F73" s="147" t="s">
        <v>82</v>
      </c>
      <c r="G73" s="148">
        <f>STDEV(G60:G71)/G72</f>
        <v>4.6085208898715771E-3</v>
      </c>
      <c r="H73" s="148">
        <f>STDEV(H60:H71)/H72</f>
        <v>4.6085208898715771E-3</v>
      </c>
    </row>
    <row r="74" spans="1:8" ht="27" customHeight="1" thickBot="1" x14ac:dyDescent="0.45">
      <c r="A74" s="105"/>
      <c r="B74" s="105"/>
      <c r="C74" s="105"/>
      <c r="D74" s="105"/>
      <c r="E74" s="107"/>
      <c r="F74" s="149" t="s">
        <v>18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59" t="s">
        <v>104</v>
      </c>
      <c r="B76" s="60" t="s">
        <v>105</v>
      </c>
      <c r="C76" s="284" t="str">
        <f>B26</f>
        <v>Sulfamethoxazole</v>
      </c>
      <c r="D76" s="284"/>
      <c r="E76" s="49" t="s">
        <v>106</v>
      </c>
      <c r="F76" s="49"/>
      <c r="G76" s="151">
        <f>H72</f>
        <v>94.873981779947997</v>
      </c>
      <c r="H76" s="64"/>
    </row>
    <row r="77" spans="1:8" ht="18.75" x14ac:dyDescent="0.3">
      <c r="A77" s="58" t="s">
        <v>107</v>
      </c>
      <c r="B77" s="58" t="s">
        <v>108</v>
      </c>
    </row>
    <row r="78" spans="1:8" ht="18.75" x14ac:dyDescent="0.3">
      <c r="A78" s="58"/>
      <c r="B78" s="58"/>
    </row>
    <row r="79" spans="1:8" ht="26.25" customHeight="1" x14ac:dyDescent="0.4">
      <c r="A79" s="59" t="s">
        <v>4</v>
      </c>
      <c r="B79" s="286" t="str">
        <f>B26</f>
        <v>Sulfamethoxazole</v>
      </c>
      <c r="C79" s="286"/>
    </row>
    <row r="80" spans="1:8" ht="26.25" customHeight="1" x14ac:dyDescent="0.4">
      <c r="A80" s="60" t="s">
        <v>46</v>
      </c>
      <c r="B80" s="286" t="str">
        <f>B27</f>
        <v>S12-6</v>
      </c>
      <c r="C80" s="286"/>
    </row>
    <row r="81" spans="1:12" ht="27" customHeight="1" thickBot="1" x14ac:dyDescent="0.45">
      <c r="A81" s="60" t="s">
        <v>6</v>
      </c>
      <c r="B81" s="61">
        <f>B28</f>
        <v>99.02</v>
      </c>
    </row>
    <row r="82" spans="1:12" s="12" customFormat="1" ht="27" customHeight="1" thickBot="1" x14ac:dyDescent="0.45">
      <c r="A82" s="60" t="s">
        <v>47</v>
      </c>
      <c r="B82" s="62">
        <v>0</v>
      </c>
      <c r="C82" s="287" t="s">
        <v>48</v>
      </c>
      <c r="D82" s="288"/>
      <c r="E82" s="288"/>
      <c r="F82" s="288"/>
      <c r="G82" s="289"/>
      <c r="I82" s="63"/>
      <c r="J82" s="63"/>
      <c r="K82" s="63"/>
      <c r="L82" s="63"/>
    </row>
    <row r="83" spans="1:12" s="12" customFormat="1" ht="19.5" customHeight="1" thickBot="1" x14ac:dyDescent="0.35">
      <c r="A83" s="60" t="s">
        <v>49</v>
      </c>
      <c r="B83" s="64">
        <f>B81-B82</f>
        <v>99.02</v>
      </c>
      <c r="C83" s="65"/>
      <c r="D83" s="65"/>
      <c r="E83" s="65"/>
      <c r="F83" s="65"/>
      <c r="G83" s="66"/>
      <c r="I83" s="63"/>
      <c r="J83" s="63"/>
      <c r="K83" s="63"/>
      <c r="L83" s="63"/>
    </row>
    <row r="84" spans="1:12" s="12" customFormat="1" ht="27" customHeight="1" thickBot="1" x14ac:dyDescent="0.45">
      <c r="A84" s="60" t="s">
        <v>50</v>
      </c>
      <c r="B84" s="67">
        <v>1</v>
      </c>
      <c r="C84" s="290" t="s">
        <v>109</v>
      </c>
      <c r="D84" s="291"/>
      <c r="E84" s="291"/>
      <c r="F84" s="291"/>
      <c r="G84" s="291"/>
      <c r="H84" s="292"/>
      <c r="I84" s="63"/>
      <c r="J84" s="63"/>
      <c r="K84" s="63"/>
      <c r="L84" s="63"/>
    </row>
    <row r="85" spans="1:12" s="12" customFormat="1" ht="27" customHeight="1" thickBot="1" x14ac:dyDescent="0.45">
      <c r="A85" s="60" t="s">
        <v>52</v>
      </c>
      <c r="B85" s="67">
        <v>1</v>
      </c>
      <c r="C85" s="290" t="s">
        <v>110</v>
      </c>
      <c r="D85" s="291"/>
      <c r="E85" s="291"/>
      <c r="F85" s="291"/>
      <c r="G85" s="291"/>
      <c r="H85" s="292"/>
      <c r="I85" s="63"/>
      <c r="J85" s="63"/>
      <c r="K85" s="63"/>
      <c r="L85" s="63"/>
    </row>
    <row r="86" spans="1:12" s="12" customFormat="1" ht="18.75" x14ac:dyDescent="0.3">
      <c r="A86" s="60"/>
      <c r="B86" s="70"/>
      <c r="C86" s="71"/>
      <c r="D86" s="71"/>
      <c r="E86" s="71"/>
      <c r="F86" s="71"/>
      <c r="G86" s="71"/>
      <c r="H86" s="71"/>
      <c r="I86" s="63"/>
      <c r="J86" s="63"/>
      <c r="K86" s="63"/>
      <c r="L86" s="63"/>
    </row>
    <row r="87" spans="1:12" s="12" customFormat="1" ht="18.75" x14ac:dyDescent="0.3">
      <c r="A87" s="60" t="s">
        <v>54</v>
      </c>
      <c r="B87" s="72">
        <f>B84/B85</f>
        <v>1</v>
      </c>
      <c r="C87" s="49" t="s">
        <v>55</v>
      </c>
      <c r="D87" s="49"/>
      <c r="E87" s="49"/>
      <c r="F87" s="49"/>
      <c r="G87" s="49"/>
      <c r="I87" s="63"/>
      <c r="J87" s="63"/>
      <c r="K87" s="63"/>
      <c r="L87" s="63"/>
    </row>
    <row r="88" spans="1:12" ht="19.5" customHeight="1" thickBot="1" x14ac:dyDescent="0.35">
      <c r="A88" s="58"/>
      <c r="B88" s="58"/>
    </row>
    <row r="89" spans="1:12" ht="27" customHeight="1" thickBot="1" x14ac:dyDescent="0.45">
      <c r="A89" s="73" t="s">
        <v>56</v>
      </c>
      <c r="B89" s="74">
        <v>100</v>
      </c>
      <c r="D89" s="152" t="s">
        <v>57</v>
      </c>
      <c r="E89" s="153"/>
      <c r="F89" s="293" t="s">
        <v>58</v>
      </c>
      <c r="G89" s="294"/>
    </row>
    <row r="90" spans="1:12" ht="27" customHeight="1" thickBot="1" x14ac:dyDescent="0.45">
      <c r="A90" s="75" t="s">
        <v>59</v>
      </c>
      <c r="B90" s="76">
        <v>1</v>
      </c>
      <c r="C90" s="154" t="s">
        <v>60</v>
      </c>
      <c r="D90" s="78" t="s">
        <v>61</v>
      </c>
      <c r="E90" s="79" t="s">
        <v>62</v>
      </c>
      <c r="F90" s="78" t="s">
        <v>61</v>
      </c>
      <c r="G90" s="155" t="s">
        <v>62</v>
      </c>
      <c r="I90" s="81" t="s">
        <v>63</v>
      </c>
    </row>
    <row r="91" spans="1:12" ht="26.25" customHeight="1" x14ac:dyDescent="0.4">
      <c r="A91" s="75" t="s">
        <v>64</v>
      </c>
      <c r="B91" s="76">
        <v>1</v>
      </c>
      <c r="C91" s="156">
        <v>1</v>
      </c>
      <c r="D91" s="83">
        <v>45500008</v>
      </c>
      <c r="E91" s="84">
        <f>IF(ISBLANK(D91),"-",$D$101/$D$98*D91)</f>
        <v>43199079.755325675</v>
      </c>
      <c r="F91" s="83">
        <v>40051273</v>
      </c>
      <c r="G91" s="85">
        <f>IF(ISBLANK(F91),"-",$D$101/$F$98*F91)</f>
        <v>42852771.891058661</v>
      </c>
      <c r="I91" s="86"/>
    </row>
    <row r="92" spans="1:12" ht="26.25" customHeight="1" x14ac:dyDescent="0.4">
      <c r="A92" s="75" t="s">
        <v>65</v>
      </c>
      <c r="B92" s="76">
        <v>1</v>
      </c>
      <c r="C92" s="105">
        <v>2</v>
      </c>
      <c r="D92" s="88">
        <v>45743910</v>
      </c>
      <c r="E92" s="89">
        <f>IF(ISBLANK(D92),"-",$D$101/$D$98*D92)</f>
        <v>43430647.669566117</v>
      </c>
      <c r="F92" s="88">
        <v>40171593</v>
      </c>
      <c r="G92" s="90">
        <f>IF(ISBLANK(F92),"-",$D$101/$F$98*F92)</f>
        <v>42981508.011729091</v>
      </c>
      <c r="I92" s="275">
        <f>ABS((F96/D96*D95)-F95)/D95</f>
        <v>8.4322008806976077E-3</v>
      </c>
    </row>
    <row r="93" spans="1:12" ht="26.25" customHeight="1" x14ac:dyDescent="0.4">
      <c r="A93" s="75" t="s">
        <v>66</v>
      </c>
      <c r="B93" s="76">
        <v>1</v>
      </c>
      <c r="C93" s="105">
        <v>3</v>
      </c>
      <c r="D93" s="88">
        <v>45804787</v>
      </c>
      <c r="E93" s="89">
        <f>IF(ISBLANK(D93),"-",$D$101/$D$98*D93)</f>
        <v>43488446.129255727</v>
      </c>
      <c r="F93" s="88">
        <v>40233213</v>
      </c>
      <c r="G93" s="90">
        <f>IF(ISBLANK(F93),"-",$D$101/$F$98*F93)</f>
        <v>43047438.195868976</v>
      </c>
      <c r="I93" s="275"/>
    </row>
    <row r="94" spans="1:12" ht="27" customHeight="1" thickBot="1" x14ac:dyDescent="0.45">
      <c r="A94" s="75" t="s">
        <v>67</v>
      </c>
      <c r="B94" s="76">
        <v>1</v>
      </c>
      <c r="C94" s="157">
        <v>4</v>
      </c>
      <c r="D94" s="92"/>
      <c r="E94" s="93" t="str">
        <f>IF(ISBLANK(D94),"-",$D$101/$D$98*D94)</f>
        <v>-</v>
      </c>
      <c r="F94" s="158"/>
      <c r="G94" s="94" t="str">
        <f>IF(ISBLANK(F94),"-",$D$101/$F$98*F94)</f>
        <v>-</v>
      </c>
      <c r="I94" s="95"/>
    </row>
    <row r="95" spans="1:12" ht="27" customHeight="1" thickBot="1" x14ac:dyDescent="0.45">
      <c r="A95" s="75" t="s">
        <v>68</v>
      </c>
      <c r="B95" s="76">
        <v>1</v>
      </c>
      <c r="C95" s="60" t="s">
        <v>69</v>
      </c>
      <c r="D95" s="159">
        <f>AVERAGE(D91:D94)</f>
        <v>45682901.666666664</v>
      </c>
      <c r="E95" s="98">
        <f>AVERAGE(E91:E94)</f>
        <v>43372724.518049173</v>
      </c>
      <c r="F95" s="160">
        <f>AVERAGE(F91:F94)</f>
        <v>40152026.333333336</v>
      </c>
      <c r="G95" s="161">
        <f>AVERAGE(G91:G94)</f>
        <v>42960572.699552238</v>
      </c>
    </row>
    <row r="96" spans="1:12" ht="26.25" customHeight="1" x14ac:dyDescent="0.4">
      <c r="A96" s="75" t="s">
        <v>70</v>
      </c>
      <c r="B96" s="61">
        <v>1</v>
      </c>
      <c r="C96" s="162" t="s">
        <v>111</v>
      </c>
      <c r="D96" s="163">
        <v>18.91</v>
      </c>
      <c r="E96" s="49"/>
      <c r="F96" s="102">
        <v>16.78</v>
      </c>
    </row>
    <row r="97" spans="1:10" ht="26.25" customHeight="1" x14ac:dyDescent="0.4">
      <c r="A97" s="75" t="s">
        <v>72</v>
      </c>
      <c r="B97" s="61">
        <v>1</v>
      </c>
      <c r="C97" s="164" t="s">
        <v>112</v>
      </c>
      <c r="D97" s="165">
        <f>D96*$B$87</f>
        <v>18.91</v>
      </c>
      <c r="E97" s="105"/>
      <c r="F97" s="104">
        <f>F96*$B$87</f>
        <v>16.78</v>
      </c>
    </row>
    <row r="98" spans="1:10" ht="19.5" customHeight="1" thickBot="1" x14ac:dyDescent="0.35">
      <c r="A98" s="75" t="s">
        <v>74</v>
      </c>
      <c r="B98" s="105">
        <f>(B97/B96)*(B95/B94)*(B93/B92)*(B91/B90)*B89</f>
        <v>100</v>
      </c>
      <c r="C98" s="164" t="s">
        <v>113</v>
      </c>
      <c r="D98" s="166">
        <f>D97*$B$83/100</f>
        <v>18.724682000000001</v>
      </c>
      <c r="E98" s="107"/>
      <c r="F98" s="106">
        <f>F97*$B$83/100</f>
        <v>16.615556000000002</v>
      </c>
    </row>
    <row r="99" spans="1:10" ht="19.5" customHeight="1" thickBot="1" x14ac:dyDescent="0.35">
      <c r="A99" s="276" t="s">
        <v>76</v>
      </c>
      <c r="B99" s="277"/>
      <c r="C99" s="164" t="s">
        <v>114</v>
      </c>
      <c r="D99" s="167">
        <f>D98/$B$98</f>
        <v>0.18724682000000001</v>
      </c>
      <c r="E99" s="107"/>
      <c r="F99" s="110">
        <f>F98/$B$98</f>
        <v>0.16615556000000001</v>
      </c>
      <c r="H99" s="100"/>
    </row>
    <row r="100" spans="1:10" ht="19.5" customHeight="1" thickBot="1" x14ac:dyDescent="0.35">
      <c r="A100" s="278"/>
      <c r="B100" s="279"/>
      <c r="C100" s="164" t="s">
        <v>78</v>
      </c>
      <c r="D100" s="168">
        <f>$B$56/$B$116</f>
        <v>0.17777777777777778</v>
      </c>
      <c r="F100" s="115"/>
      <c r="G100" s="169"/>
      <c r="H100" s="100"/>
    </row>
    <row r="101" spans="1:10" ht="18.75" x14ac:dyDescent="0.3">
      <c r="C101" s="164" t="s">
        <v>79</v>
      </c>
      <c r="D101" s="165">
        <f>D100*$B$98</f>
        <v>17.777777777777779</v>
      </c>
      <c r="F101" s="115"/>
      <c r="H101" s="100"/>
    </row>
    <row r="102" spans="1:10" ht="19.5" customHeight="1" thickBot="1" x14ac:dyDescent="0.35">
      <c r="C102" s="170" t="s">
        <v>80</v>
      </c>
      <c r="D102" s="171">
        <f>D101/B34</f>
        <v>17.777777777777779</v>
      </c>
      <c r="F102" s="119"/>
      <c r="H102" s="100"/>
      <c r="J102" s="172"/>
    </row>
    <row r="103" spans="1:10" ht="18.75" x14ac:dyDescent="0.3">
      <c r="C103" s="173" t="s">
        <v>115</v>
      </c>
      <c r="D103" s="174">
        <f>AVERAGE(E91:E94,G91:G94)</f>
        <v>43166648.608800709</v>
      </c>
      <c r="F103" s="119"/>
      <c r="G103" s="169"/>
      <c r="H103" s="100"/>
      <c r="J103" s="175"/>
    </row>
    <row r="104" spans="1:10" ht="18.75" x14ac:dyDescent="0.3">
      <c r="C104" s="147" t="s">
        <v>82</v>
      </c>
      <c r="D104" s="176">
        <f>STDEV(E91:E94,G91:G94)/D103</f>
        <v>5.872556747738642E-3</v>
      </c>
      <c r="F104" s="119"/>
      <c r="H104" s="100"/>
      <c r="J104" s="175"/>
    </row>
    <row r="105" spans="1:10" ht="19.5" customHeight="1" thickBot="1" x14ac:dyDescent="0.35">
      <c r="C105" s="149" t="s">
        <v>18</v>
      </c>
      <c r="D105" s="177">
        <f>COUNT(E91:E94,G91:G94)</f>
        <v>6</v>
      </c>
      <c r="F105" s="119"/>
      <c r="H105" s="100"/>
      <c r="J105" s="175"/>
    </row>
    <row r="106" spans="1:10" ht="19.5" customHeight="1" thickBot="1" x14ac:dyDescent="0.35">
      <c r="A106" s="123"/>
      <c r="B106" s="123"/>
      <c r="C106" s="123"/>
      <c r="D106" s="123"/>
      <c r="E106" s="123"/>
    </row>
    <row r="107" spans="1:10" ht="27" customHeight="1" thickBot="1" x14ac:dyDescent="0.45">
      <c r="A107" s="73" t="s">
        <v>116</v>
      </c>
      <c r="B107" s="74">
        <v>900</v>
      </c>
      <c r="C107" s="129" t="s">
        <v>117</v>
      </c>
      <c r="D107" s="129" t="s">
        <v>61</v>
      </c>
      <c r="E107" s="129" t="s">
        <v>118</v>
      </c>
      <c r="F107" s="178" t="s">
        <v>119</v>
      </c>
    </row>
    <row r="108" spans="1:10" ht="26.25" customHeight="1" x14ac:dyDescent="0.4">
      <c r="A108" s="75" t="s">
        <v>120</v>
      </c>
      <c r="B108" s="76">
        <v>10</v>
      </c>
      <c r="C108" s="130">
        <v>1</v>
      </c>
      <c r="D108" s="179">
        <v>35717526</v>
      </c>
      <c r="E108" s="180">
        <f t="shared" ref="E108:E113" si="1">IF(ISBLANK(D108),"-",D108/$D$103*$D$100*$B$116)</f>
        <v>661.94670471069185</v>
      </c>
      <c r="F108" s="181">
        <f t="shared" ref="F108:F113" si="2">IF(ISBLANK(D108), "-", (E108/$B$56)*100)</f>
        <v>82.743338088836481</v>
      </c>
    </row>
    <row r="109" spans="1:10" ht="26.25" customHeight="1" x14ac:dyDescent="0.4">
      <c r="A109" s="75" t="s">
        <v>93</v>
      </c>
      <c r="B109" s="76">
        <v>50</v>
      </c>
      <c r="C109" s="134">
        <v>2</v>
      </c>
      <c r="D109" s="182">
        <v>35543877</v>
      </c>
      <c r="E109" s="183">
        <f t="shared" si="1"/>
        <v>658.72849795901743</v>
      </c>
      <c r="F109" s="184">
        <f t="shared" si="2"/>
        <v>82.341062244877179</v>
      </c>
    </row>
    <row r="110" spans="1:10" ht="26.25" customHeight="1" x14ac:dyDescent="0.4">
      <c r="A110" s="75" t="s">
        <v>94</v>
      </c>
      <c r="B110" s="76">
        <v>1</v>
      </c>
      <c r="C110" s="134">
        <v>3</v>
      </c>
      <c r="D110" s="182">
        <v>35767945</v>
      </c>
      <c r="E110" s="183">
        <f t="shared" si="1"/>
        <v>662.88111127918728</v>
      </c>
      <c r="F110" s="184">
        <f t="shared" si="2"/>
        <v>82.86013890989841</v>
      </c>
    </row>
    <row r="111" spans="1:10" ht="26.25" customHeight="1" x14ac:dyDescent="0.4">
      <c r="A111" s="75" t="s">
        <v>95</v>
      </c>
      <c r="B111" s="76">
        <v>1</v>
      </c>
      <c r="C111" s="134">
        <v>4</v>
      </c>
      <c r="D111" s="182">
        <v>35569613</v>
      </c>
      <c r="E111" s="183">
        <f t="shared" si="1"/>
        <v>659.20545877630457</v>
      </c>
      <c r="F111" s="184">
        <f t="shared" si="2"/>
        <v>82.400682347038071</v>
      </c>
    </row>
    <row r="112" spans="1:10" ht="26.25" customHeight="1" x14ac:dyDescent="0.4">
      <c r="A112" s="75" t="s">
        <v>96</v>
      </c>
      <c r="B112" s="76">
        <v>1</v>
      </c>
      <c r="C112" s="134">
        <v>5</v>
      </c>
      <c r="D112" s="182">
        <v>35555703</v>
      </c>
      <c r="E112" s="183">
        <f t="shared" si="1"/>
        <v>658.94766716267145</v>
      </c>
      <c r="F112" s="184">
        <f t="shared" si="2"/>
        <v>82.368458395333931</v>
      </c>
    </row>
    <row r="113" spans="1:10" ht="27" customHeight="1" thickBot="1" x14ac:dyDescent="0.45">
      <c r="A113" s="75" t="s">
        <v>98</v>
      </c>
      <c r="B113" s="76">
        <v>1</v>
      </c>
      <c r="C113" s="138">
        <v>6</v>
      </c>
      <c r="D113" s="185">
        <v>35383506</v>
      </c>
      <c r="E113" s="186">
        <f t="shared" si="1"/>
        <v>655.75637007476371</v>
      </c>
      <c r="F113" s="187">
        <f t="shared" si="2"/>
        <v>81.969546259345464</v>
      </c>
    </row>
    <row r="114" spans="1:10" ht="27" customHeight="1" thickBot="1" x14ac:dyDescent="0.45">
      <c r="A114" s="75" t="s">
        <v>99</v>
      </c>
      <c r="B114" s="76">
        <v>1</v>
      </c>
      <c r="C114" s="188"/>
      <c r="D114" s="105"/>
      <c r="E114" s="49"/>
      <c r="F114" s="184"/>
    </row>
    <row r="115" spans="1:10" ht="26.25" customHeight="1" x14ac:dyDescent="0.4">
      <c r="A115" s="75" t="s">
        <v>100</v>
      </c>
      <c r="B115" s="76">
        <v>1</v>
      </c>
      <c r="C115" s="188"/>
      <c r="D115" s="189" t="s">
        <v>69</v>
      </c>
      <c r="E115" s="190">
        <f>AVERAGE(E108:E113)</f>
        <v>659.57763499377268</v>
      </c>
      <c r="F115" s="191">
        <f>AVERAGE(F108:F113)</f>
        <v>82.447204374221585</v>
      </c>
    </row>
    <row r="116" spans="1:10" ht="27" customHeight="1" thickBot="1" x14ac:dyDescent="0.45">
      <c r="A116" s="75" t="s">
        <v>101</v>
      </c>
      <c r="B116" s="87">
        <f>(B115/B114)*(B113/B112)*(B111/B110)*(B109/B108)*B107</f>
        <v>4500</v>
      </c>
      <c r="C116" s="192"/>
      <c r="D116" s="193" t="s">
        <v>82</v>
      </c>
      <c r="E116" s="148">
        <f>STDEV(E108:E113)/E115</f>
        <v>3.8584581215700248E-3</v>
      </c>
      <c r="F116" s="194">
        <f>STDEV(F108:F113)/F115</f>
        <v>3.8584581215700248E-3</v>
      </c>
      <c r="I116" s="49"/>
    </row>
    <row r="117" spans="1:10" ht="27" customHeight="1" thickBot="1" x14ac:dyDescent="0.45">
      <c r="A117" s="276" t="s">
        <v>76</v>
      </c>
      <c r="B117" s="280"/>
      <c r="C117" s="195"/>
      <c r="D117" s="149" t="s">
        <v>18</v>
      </c>
      <c r="E117" s="196">
        <f>COUNT(E108:E113)</f>
        <v>6</v>
      </c>
      <c r="F117" s="197">
        <f>COUNT(F108:F113)</f>
        <v>6</v>
      </c>
      <c r="I117" s="49"/>
      <c r="J117" s="175"/>
    </row>
    <row r="118" spans="1:10" ht="26.25" customHeight="1" thickBot="1" x14ac:dyDescent="0.35">
      <c r="A118" s="278"/>
      <c r="B118" s="281"/>
      <c r="C118" s="49"/>
      <c r="D118" s="198"/>
      <c r="E118" s="282" t="s">
        <v>121</v>
      </c>
      <c r="F118" s="283"/>
      <c r="G118" s="49"/>
      <c r="H118" s="49"/>
      <c r="I118" s="49"/>
    </row>
    <row r="119" spans="1:10" ht="25.5" customHeight="1" x14ac:dyDescent="0.4">
      <c r="A119" s="199"/>
      <c r="B119" s="71"/>
      <c r="C119" s="49"/>
      <c r="D119" s="193" t="s">
        <v>122</v>
      </c>
      <c r="E119" s="200">
        <f>MIN(E108:E113)</f>
        <v>655.75637007476371</v>
      </c>
      <c r="F119" s="201">
        <f>MIN(F108:F113)</f>
        <v>81.969546259345464</v>
      </c>
      <c r="G119" s="49"/>
      <c r="H119" s="49"/>
      <c r="I119" s="49"/>
    </row>
    <row r="120" spans="1:10" ht="24" customHeight="1" thickBot="1" x14ac:dyDescent="0.45">
      <c r="A120" s="199"/>
      <c r="B120" s="71"/>
      <c r="C120" s="49"/>
      <c r="D120" s="116" t="s">
        <v>123</v>
      </c>
      <c r="E120" s="202">
        <f>MAX(E108:E113)</f>
        <v>662.88111127918728</v>
      </c>
      <c r="F120" s="203">
        <f>MAX(F108:F113)</f>
        <v>82.86013890989841</v>
      </c>
      <c r="G120" s="49"/>
      <c r="H120" s="49"/>
      <c r="I120" s="49"/>
    </row>
    <row r="121" spans="1:10" ht="27" customHeight="1" x14ac:dyDescent="0.3">
      <c r="A121" s="199"/>
      <c r="B121" s="71"/>
      <c r="C121" s="49"/>
      <c r="D121" s="49"/>
      <c r="E121" s="49"/>
      <c r="F121" s="105"/>
      <c r="G121" s="49"/>
      <c r="H121" s="49"/>
      <c r="I121" s="49"/>
    </row>
    <row r="122" spans="1:10" ht="25.5" customHeight="1" x14ac:dyDescent="0.3">
      <c r="A122" s="199"/>
      <c r="B122" s="71"/>
      <c r="C122" s="49"/>
      <c r="D122" s="49"/>
      <c r="E122" s="49"/>
      <c r="F122" s="105"/>
      <c r="G122" s="49"/>
      <c r="H122" s="49"/>
      <c r="I122" s="49"/>
    </row>
    <row r="123" spans="1:10" ht="18.75" x14ac:dyDescent="0.3">
      <c r="A123" s="199"/>
      <c r="B123" s="71"/>
      <c r="C123" s="49"/>
      <c r="D123" s="49"/>
      <c r="E123" s="49"/>
      <c r="F123" s="105"/>
      <c r="G123" s="49"/>
      <c r="H123" s="49"/>
      <c r="I123" s="49"/>
    </row>
    <row r="124" spans="1:10" ht="45.75" customHeight="1" x14ac:dyDescent="0.65">
      <c r="A124" s="59" t="s">
        <v>104</v>
      </c>
      <c r="B124" s="60" t="s">
        <v>124</v>
      </c>
      <c r="C124" s="284" t="str">
        <f>B26</f>
        <v>Sulfamethoxazole</v>
      </c>
      <c r="D124" s="284"/>
      <c r="E124" s="49" t="s">
        <v>125</v>
      </c>
      <c r="F124" s="49"/>
      <c r="G124" s="204">
        <f>F115</f>
        <v>82.447204374221585</v>
      </c>
      <c r="H124" s="49"/>
      <c r="I124" s="49"/>
    </row>
    <row r="125" spans="1:10" ht="45.75" customHeight="1" x14ac:dyDescent="0.65">
      <c r="A125" s="59"/>
      <c r="B125" s="60" t="s">
        <v>126</v>
      </c>
      <c r="C125" s="60" t="s">
        <v>127</v>
      </c>
      <c r="D125" s="204">
        <f>MIN(F108:F113)</f>
        <v>81.969546259345464</v>
      </c>
      <c r="E125" s="60" t="s">
        <v>128</v>
      </c>
      <c r="F125" s="204">
        <f>MAX(F108:F113)</f>
        <v>82.86013890989841</v>
      </c>
      <c r="G125" s="205"/>
      <c r="H125" s="49"/>
      <c r="I125" s="49"/>
    </row>
    <row r="126" spans="1:10" ht="19.5" customHeight="1" thickBot="1" x14ac:dyDescent="0.35">
      <c r="A126" s="206"/>
      <c r="B126" s="206"/>
      <c r="C126" s="207"/>
      <c r="D126" s="207"/>
      <c r="E126" s="207"/>
      <c r="F126" s="207"/>
      <c r="G126" s="207"/>
      <c r="H126" s="207"/>
    </row>
    <row r="127" spans="1:10" ht="18.75" x14ac:dyDescent="0.3">
      <c r="B127" s="285" t="s">
        <v>24</v>
      </c>
      <c r="C127" s="285"/>
      <c r="E127" s="154" t="s">
        <v>25</v>
      </c>
      <c r="F127" s="208"/>
      <c r="G127" s="285" t="s">
        <v>26</v>
      </c>
      <c r="H127" s="285"/>
    </row>
    <row r="128" spans="1:10" ht="69.95" customHeight="1" x14ac:dyDescent="0.3">
      <c r="A128" s="59" t="s">
        <v>27</v>
      </c>
      <c r="B128" s="209"/>
      <c r="C128" s="209"/>
      <c r="E128" s="209"/>
      <c r="F128" s="49"/>
      <c r="G128" s="209"/>
      <c r="H128" s="209"/>
    </row>
    <row r="129" spans="1:9" ht="69.95" customHeight="1" x14ac:dyDescent="0.3">
      <c r="A129" s="59" t="s">
        <v>28</v>
      </c>
      <c r="B129" s="210"/>
      <c r="C129" s="210"/>
      <c r="E129" s="210"/>
      <c r="F129" s="49"/>
      <c r="G129" s="211"/>
      <c r="H129" s="211"/>
    </row>
    <row r="130" spans="1:9" ht="18.75" x14ac:dyDescent="0.3">
      <c r="A130" s="105"/>
      <c r="B130" s="105"/>
      <c r="C130" s="105"/>
      <c r="D130" s="105"/>
      <c r="E130" s="105"/>
      <c r="F130" s="107"/>
      <c r="G130" s="105"/>
      <c r="H130" s="105"/>
      <c r="I130" s="49"/>
    </row>
    <row r="131" spans="1:9" ht="18.75" x14ac:dyDescent="0.3">
      <c r="A131" s="105"/>
      <c r="B131" s="105"/>
      <c r="C131" s="105"/>
      <c r="D131" s="105"/>
      <c r="E131" s="105"/>
      <c r="F131" s="107"/>
      <c r="G131" s="105"/>
      <c r="H131" s="105"/>
      <c r="I131" s="49"/>
    </row>
    <row r="132" spans="1:9" ht="18.75" x14ac:dyDescent="0.3">
      <c r="A132" s="105"/>
      <c r="B132" s="105"/>
      <c r="C132" s="105"/>
      <c r="D132" s="105"/>
      <c r="E132" s="105"/>
      <c r="F132" s="107"/>
      <c r="G132" s="105"/>
      <c r="H132" s="105"/>
      <c r="I132" s="49"/>
    </row>
    <row r="133" spans="1:9" ht="18.75" x14ac:dyDescent="0.3">
      <c r="A133" s="105"/>
      <c r="B133" s="105"/>
      <c r="C133" s="105"/>
      <c r="D133" s="105"/>
      <c r="E133" s="105"/>
      <c r="F133" s="107"/>
      <c r="G133" s="105"/>
      <c r="H133" s="105"/>
      <c r="I133" s="49"/>
    </row>
    <row r="134" spans="1:9" ht="18.75" x14ac:dyDescent="0.3">
      <c r="A134" s="105"/>
      <c r="B134" s="105"/>
      <c r="C134" s="105"/>
      <c r="D134" s="105"/>
      <c r="E134" s="105"/>
      <c r="F134" s="107"/>
      <c r="G134" s="105"/>
      <c r="H134" s="105"/>
      <c r="I134" s="49"/>
    </row>
    <row r="135" spans="1:9" ht="18.75" x14ac:dyDescent="0.3">
      <c r="A135" s="105"/>
      <c r="B135" s="105"/>
      <c r="C135" s="105"/>
      <c r="D135" s="105"/>
      <c r="E135" s="105"/>
      <c r="F135" s="107"/>
      <c r="G135" s="105"/>
      <c r="H135" s="105"/>
      <c r="I135" s="49"/>
    </row>
    <row r="136" spans="1:9" ht="18.75" x14ac:dyDescent="0.3">
      <c r="A136" s="105"/>
      <c r="B136" s="105"/>
      <c r="C136" s="105"/>
      <c r="D136" s="105"/>
      <c r="E136" s="105"/>
      <c r="F136" s="107"/>
      <c r="G136" s="105"/>
      <c r="H136" s="105"/>
      <c r="I136" s="49"/>
    </row>
    <row r="137" spans="1:9" ht="18.75" x14ac:dyDescent="0.3">
      <c r="A137" s="105"/>
      <c r="B137" s="105"/>
      <c r="C137" s="105"/>
      <c r="D137" s="105"/>
      <c r="E137" s="105"/>
      <c r="F137" s="107"/>
      <c r="G137" s="105"/>
      <c r="H137" s="105"/>
      <c r="I137" s="49"/>
    </row>
    <row r="138" spans="1:9" ht="18.75" x14ac:dyDescent="0.3">
      <c r="A138" s="105"/>
      <c r="B138" s="105"/>
      <c r="C138" s="105"/>
      <c r="D138" s="105"/>
      <c r="E138" s="105"/>
      <c r="F138" s="107"/>
      <c r="G138" s="105"/>
      <c r="H138" s="105"/>
      <c r="I138" s="4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fitToHeight="0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9" zoomScale="85" zoomScaleNormal="40" zoomScalePageLayoutView="85" workbookViewId="0">
      <selection activeCell="B60" sqref="B6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  <col min="13" max="16384" width="9.140625" style="42"/>
  </cols>
  <sheetData>
    <row r="1" spans="1:9" ht="18.75" customHeight="1" x14ac:dyDescent="0.25">
      <c r="A1" s="307" t="s">
        <v>43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 x14ac:dyDescent="0.25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 x14ac:dyDescent="0.25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 x14ac:dyDescent="0.25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 x14ac:dyDescent="0.25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 x14ac:dyDescent="0.25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 x14ac:dyDescent="0.25">
      <c r="A7" s="307"/>
      <c r="B7" s="307"/>
      <c r="C7" s="307"/>
      <c r="D7" s="307"/>
      <c r="E7" s="307"/>
      <c r="F7" s="307"/>
      <c r="G7" s="307"/>
      <c r="H7" s="307"/>
      <c r="I7" s="307"/>
    </row>
    <row r="8" spans="1:9" x14ac:dyDescent="0.25">
      <c r="A8" s="308" t="s">
        <v>44</v>
      </c>
      <c r="B8" s="308"/>
      <c r="C8" s="308"/>
      <c r="D8" s="308"/>
      <c r="E8" s="308"/>
      <c r="F8" s="308"/>
      <c r="G8" s="308"/>
      <c r="H8" s="308"/>
      <c r="I8" s="308"/>
    </row>
    <row r="9" spans="1:9" x14ac:dyDescent="0.25">
      <c r="A9" s="308"/>
      <c r="B9" s="308"/>
      <c r="C9" s="308"/>
      <c r="D9" s="308"/>
      <c r="E9" s="308"/>
      <c r="F9" s="308"/>
      <c r="G9" s="308"/>
      <c r="H9" s="308"/>
      <c r="I9" s="308"/>
    </row>
    <row r="10" spans="1:9" x14ac:dyDescent="0.25">
      <c r="A10" s="308"/>
      <c r="B10" s="308"/>
      <c r="C10" s="308"/>
      <c r="D10" s="308"/>
      <c r="E10" s="308"/>
      <c r="F10" s="308"/>
      <c r="G10" s="308"/>
      <c r="H10" s="308"/>
      <c r="I10" s="308"/>
    </row>
    <row r="11" spans="1:9" x14ac:dyDescent="0.25">
      <c r="A11" s="308"/>
      <c r="B11" s="308"/>
      <c r="C11" s="308"/>
      <c r="D11" s="308"/>
      <c r="E11" s="308"/>
      <c r="F11" s="308"/>
      <c r="G11" s="308"/>
      <c r="H11" s="308"/>
      <c r="I11" s="308"/>
    </row>
    <row r="12" spans="1:9" x14ac:dyDescent="0.25">
      <c r="A12" s="308"/>
      <c r="B12" s="308"/>
      <c r="C12" s="308"/>
      <c r="D12" s="308"/>
      <c r="E12" s="308"/>
      <c r="F12" s="308"/>
      <c r="G12" s="308"/>
      <c r="H12" s="308"/>
      <c r="I12" s="308"/>
    </row>
    <row r="13" spans="1:9" x14ac:dyDescent="0.25">
      <c r="A13" s="308"/>
      <c r="B13" s="308"/>
      <c r="C13" s="308"/>
      <c r="D13" s="308"/>
      <c r="E13" s="308"/>
      <c r="F13" s="308"/>
      <c r="G13" s="308"/>
      <c r="H13" s="308"/>
      <c r="I13" s="308"/>
    </row>
    <row r="14" spans="1:9" x14ac:dyDescent="0.25">
      <c r="A14" s="308"/>
      <c r="B14" s="308"/>
      <c r="C14" s="308"/>
      <c r="D14" s="308"/>
      <c r="E14" s="308"/>
      <c r="F14" s="308"/>
      <c r="G14" s="308"/>
      <c r="H14" s="308"/>
      <c r="I14" s="308"/>
    </row>
    <row r="15" spans="1:9" ht="19.5" customHeight="1" thickBot="1" x14ac:dyDescent="0.35">
      <c r="A15" s="49"/>
    </row>
    <row r="16" spans="1:9" ht="19.5" customHeight="1" thickBot="1" x14ac:dyDescent="0.35">
      <c r="A16" s="309" t="s">
        <v>29</v>
      </c>
      <c r="B16" s="310"/>
      <c r="C16" s="310"/>
      <c r="D16" s="310"/>
      <c r="E16" s="310"/>
      <c r="F16" s="310"/>
      <c r="G16" s="310"/>
      <c r="H16" s="311"/>
    </row>
    <row r="17" spans="1:14" ht="20.25" customHeight="1" x14ac:dyDescent="0.25">
      <c r="A17" s="312" t="s">
        <v>45</v>
      </c>
      <c r="B17" s="312"/>
      <c r="C17" s="312"/>
      <c r="D17" s="312"/>
      <c r="E17" s="312"/>
      <c r="F17" s="312"/>
      <c r="G17" s="312"/>
      <c r="H17" s="312"/>
    </row>
    <row r="18" spans="1:14" ht="26.25" customHeight="1" x14ac:dyDescent="0.4">
      <c r="A18" s="50" t="s">
        <v>31</v>
      </c>
      <c r="B18" s="313" t="s">
        <v>5</v>
      </c>
      <c r="C18" s="313"/>
      <c r="D18" s="51"/>
      <c r="E18" s="52"/>
      <c r="F18" s="53"/>
      <c r="G18" s="53"/>
      <c r="H18" s="53"/>
    </row>
    <row r="19" spans="1:14" ht="26.25" customHeight="1" x14ac:dyDescent="0.4">
      <c r="A19" s="50" t="s">
        <v>32</v>
      </c>
      <c r="B19" s="54" t="s">
        <v>133</v>
      </c>
      <c r="C19" s="53">
        <v>1</v>
      </c>
      <c r="D19" s="53"/>
      <c r="E19" s="53"/>
      <c r="F19" s="53"/>
      <c r="G19" s="53"/>
      <c r="H19" s="53"/>
    </row>
    <row r="20" spans="1:14" ht="26.25" customHeight="1" x14ac:dyDescent="0.4">
      <c r="A20" s="50" t="s">
        <v>33</v>
      </c>
      <c r="B20" s="314" t="s">
        <v>8</v>
      </c>
      <c r="C20" s="314"/>
      <c r="D20" s="53"/>
      <c r="E20" s="53"/>
      <c r="F20" s="53"/>
      <c r="G20" s="53"/>
      <c r="H20" s="53"/>
    </row>
    <row r="21" spans="1:14" ht="26.25" customHeight="1" x14ac:dyDescent="0.4">
      <c r="A21" s="50" t="s">
        <v>34</v>
      </c>
      <c r="B21" s="314" t="s">
        <v>10</v>
      </c>
      <c r="C21" s="314"/>
      <c r="D21" s="314"/>
      <c r="E21" s="314"/>
      <c r="F21" s="314"/>
      <c r="G21" s="314"/>
      <c r="H21" s="314"/>
      <c r="I21" s="55"/>
    </row>
    <row r="22" spans="1:14" ht="26.25" customHeight="1" x14ac:dyDescent="0.4">
      <c r="A22" s="50" t="s">
        <v>35</v>
      </c>
      <c r="B22" s="56" t="s">
        <v>130</v>
      </c>
      <c r="C22" s="53"/>
      <c r="D22" s="53"/>
      <c r="E22" s="53"/>
      <c r="F22" s="53"/>
      <c r="G22" s="53"/>
      <c r="H22" s="53"/>
    </row>
    <row r="23" spans="1:14" ht="26.25" customHeight="1" x14ac:dyDescent="0.4">
      <c r="A23" s="50" t="s">
        <v>36</v>
      </c>
      <c r="B23" s="56"/>
      <c r="C23" s="53"/>
      <c r="D23" s="53"/>
      <c r="E23" s="53"/>
      <c r="F23" s="53"/>
      <c r="G23" s="53"/>
      <c r="H23" s="53"/>
    </row>
    <row r="24" spans="1:14" ht="18.75" x14ac:dyDescent="0.3">
      <c r="A24" s="50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4</v>
      </c>
      <c r="B26" s="313" t="s">
        <v>135</v>
      </c>
      <c r="C26" s="313"/>
    </row>
    <row r="27" spans="1:14" ht="26.25" customHeight="1" x14ac:dyDescent="0.4">
      <c r="A27" s="60" t="s">
        <v>46</v>
      </c>
      <c r="B27" s="315" t="s">
        <v>136</v>
      </c>
      <c r="C27" s="315"/>
    </row>
    <row r="28" spans="1:14" ht="27" customHeight="1" thickBot="1" x14ac:dyDescent="0.45">
      <c r="A28" s="60" t="s">
        <v>6</v>
      </c>
      <c r="B28" s="61">
        <v>99.3</v>
      </c>
    </row>
    <row r="29" spans="1:14" s="12" customFormat="1" ht="27" customHeight="1" thickBot="1" x14ac:dyDescent="0.45">
      <c r="A29" s="60" t="s">
        <v>47</v>
      </c>
      <c r="B29" s="62">
        <v>0</v>
      </c>
      <c r="C29" s="287" t="s">
        <v>48</v>
      </c>
      <c r="D29" s="288"/>
      <c r="E29" s="288"/>
      <c r="F29" s="288"/>
      <c r="G29" s="289"/>
      <c r="I29" s="63"/>
      <c r="J29" s="63"/>
      <c r="K29" s="63"/>
      <c r="L29" s="63"/>
    </row>
    <row r="30" spans="1:14" s="12" customFormat="1" ht="19.5" customHeight="1" thickBot="1" x14ac:dyDescent="0.35">
      <c r="A30" s="60" t="s">
        <v>49</v>
      </c>
      <c r="B30" s="64">
        <f>B28-B29</f>
        <v>99.3</v>
      </c>
      <c r="C30" s="65"/>
      <c r="D30" s="65"/>
      <c r="E30" s="65"/>
      <c r="F30" s="65"/>
      <c r="G30" s="66"/>
      <c r="I30" s="63"/>
      <c r="J30" s="63"/>
      <c r="K30" s="63"/>
      <c r="L30" s="63"/>
    </row>
    <row r="31" spans="1:14" s="12" customFormat="1" ht="27" customHeight="1" thickBot="1" x14ac:dyDescent="0.45">
      <c r="A31" s="60" t="s">
        <v>50</v>
      </c>
      <c r="B31" s="67">
        <v>1</v>
      </c>
      <c r="C31" s="290" t="s">
        <v>51</v>
      </c>
      <c r="D31" s="291"/>
      <c r="E31" s="291"/>
      <c r="F31" s="291"/>
      <c r="G31" s="291"/>
      <c r="H31" s="292"/>
      <c r="I31" s="63"/>
      <c r="J31" s="63"/>
      <c r="K31" s="63"/>
      <c r="L31" s="63"/>
    </row>
    <row r="32" spans="1:14" s="12" customFormat="1" ht="27" customHeight="1" thickBot="1" x14ac:dyDescent="0.45">
      <c r="A32" s="60" t="s">
        <v>52</v>
      </c>
      <c r="B32" s="67">
        <v>1</v>
      </c>
      <c r="C32" s="290" t="s">
        <v>53</v>
      </c>
      <c r="D32" s="291"/>
      <c r="E32" s="291"/>
      <c r="F32" s="291"/>
      <c r="G32" s="291"/>
      <c r="H32" s="292"/>
      <c r="I32" s="63"/>
      <c r="J32" s="63"/>
      <c r="K32" s="63"/>
      <c r="L32" s="68"/>
      <c r="M32" s="68"/>
      <c r="N32" s="69"/>
    </row>
    <row r="33" spans="1:14" s="12" customFormat="1" ht="17.25" customHeight="1" x14ac:dyDescent="0.3">
      <c r="A33" s="60"/>
      <c r="B33" s="70"/>
      <c r="C33" s="71"/>
      <c r="D33" s="71"/>
      <c r="E33" s="71"/>
      <c r="F33" s="71"/>
      <c r="G33" s="71"/>
      <c r="H33" s="71"/>
      <c r="I33" s="63"/>
      <c r="J33" s="63"/>
      <c r="K33" s="63"/>
      <c r="L33" s="68"/>
      <c r="M33" s="68"/>
      <c r="N33" s="69"/>
    </row>
    <row r="34" spans="1:14" s="12" customFormat="1" ht="18.75" x14ac:dyDescent="0.3">
      <c r="A34" s="60" t="s">
        <v>54</v>
      </c>
      <c r="B34" s="72">
        <f>B31/B32</f>
        <v>1</v>
      </c>
      <c r="C34" s="49" t="s">
        <v>55</v>
      </c>
      <c r="D34" s="49"/>
      <c r="E34" s="49"/>
      <c r="F34" s="49"/>
      <c r="G34" s="49"/>
      <c r="I34" s="63"/>
      <c r="J34" s="63"/>
      <c r="K34" s="63"/>
      <c r="L34" s="68"/>
      <c r="M34" s="68"/>
      <c r="N34" s="69"/>
    </row>
    <row r="35" spans="1:14" s="12" customFormat="1" ht="19.5" customHeight="1" thickBot="1" x14ac:dyDescent="0.35">
      <c r="A35" s="60"/>
      <c r="B35" s="64"/>
      <c r="G35" s="49"/>
      <c r="I35" s="63"/>
      <c r="J35" s="63"/>
      <c r="K35" s="63"/>
      <c r="L35" s="68"/>
      <c r="M35" s="68"/>
      <c r="N35" s="69"/>
    </row>
    <row r="36" spans="1:14" s="12" customFormat="1" ht="27" customHeight="1" thickBot="1" x14ac:dyDescent="0.45">
      <c r="A36" s="73" t="s">
        <v>56</v>
      </c>
      <c r="B36" s="74">
        <v>25</v>
      </c>
      <c r="C36" s="49"/>
      <c r="D36" s="293" t="s">
        <v>57</v>
      </c>
      <c r="E36" s="295"/>
      <c r="F36" s="293" t="s">
        <v>58</v>
      </c>
      <c r="G36" s="294"/>
      <c r="J36" s="63"/>
      <c r="K36" s="63"/>
      <c r="L36" s="68"/>
      <c r="M36" s="68"/>
      <c r="N36" s="69"/>
    </row>
    <row r="37" spans="1:14" s="12" customFormat="1" ht="27" customHeight="1" thickBot="1" x14ac:dyDescent="0.45">
      <c r="A37" s="75" t="s">
        <v>59</v>
      </c>
      <c r="B37" s="76">
        <v>4</v>
      </c>
      <c r="C37" s="77" t="s">
        <v>60</v>
      </c>
      <c r="D37" s="78" t="s">
        <v>61</v>
      </c>
      <c r="E37" s="79" t="s">
        <v>62</v>
      </c>
      <c r="F37" s="78" t="s">
        <v>61</v>
      </c>
      <c r="G37" s="80" t="s">
        <v>62</v>
      </c>
      <c r="I37" s="81" t="s">
        <v>63</v>
      </c>
      <c r="J37" s="63"/>
      <c r="K37" s="63"/>
      <c r="L37" s="68"/>
      <c r="M37" s="68"/>
      <c r="N37" s="69"/>
    </row>
    <row r="38" spans="1:14" s="12" customFormat="1" ht="26.25" customHeight="1" x14ac:dyDescent="0.4">
      <c r="A38" s="75" t="s">
        <v>64</v>
      </c>
      <c r="B38" s="76">
        <v>100</v>
      </c>
      <c r="C38" s="82">
        <v>1</v>
      </c>
      <c r="D38" s="83">
        <v>2841648</v>
      </c>
      <c r="E38" s="84">
        <f>IF(ISBLANK(D38),"-",$D$48/$D$45*D38)</f>
        <v>2811080.3126799185</v>
      </c>
      <c r="F38" s="83">
        <v>2974695</v>
      </c>
      <c r="G38" s="85">
        <f>IF(ISBLANK(F38),"-",$D$48/$F$45*F38)</f>
        <v>2843535.5031494787</v>
      </c>
      <c r="I38" s="86"/>
      <c r="J38" s="63"/>
      <c r="K38" s="63"/>
      <c r="L38" s="68"/>
      <c r="M38" s="68"/>
      <c r="N38" s="69"/>
    </row>
    <row r="39" spans="1:14" s="12" customFormat="1" ht="26.25" customHeight="1" x14ac:dyDescent="0.4">
      <c r="A39" s="75" t="s">
        <v>65</v>
      </c>
      <c r="B39" s="76">
        <v>1</v>
      </c>
      <c r="C39" s="87">
        <v>2</v>
      </c>
      <c r="D39" s="88">
        <v>2855316</v>
      </c>
      <c r="E39" s="89">
        <f>IF(ISBLANK(D39),"-",$D$48/$D$45*D39)</f>
        <v>2824601.2856201665</v>
      </c>
      <c r="F39" s="88">
        <v>2982040</v>
      </c>
      <c r="G39" s="90">
        <f>IF(ISBLANK(F39),"-",$D$48/$F$45*F39)</f>
        <v>2850556.6492739161</v>
      </c>
      <c r="I39" s="275">
        <f>ABS((F43/D43*D42)-F42)/D42</f>
        <v>1.0807682324765842E-2</v>
      </c>
      <c r="J39" s="63"/>
      <c r="K39" s="63"/>
      <c r="L39" s="68"/>
      <c r="M39" s="68"/>
      <c r="N39" s="69"/>
    </row>
    <row r="40" spans="1:14" ht="26.25" customHeight="1" x14ac:dyDescent="0.4">
      <c r="A40" s="75" t="s">
        <v>66</v>
      </c>
      <c r="B40" s="76">
        <v>1</v>
      </c>
      <c r="C40" s="87">
        <v>3</v>
      </c>
      <c r="D40" s="88">
        <v>2852952</v>
      </c>
      <c r="E40" s="89">
        <f>IF(ISBLANK(D40),"-",$D$48/$D$45*D40)</f>
        <v>2822262.7152345399</v>
      </c>
      <c r="F40" s="88">
        <v>2983741</v>
      </c>
      <c r="G40" s="90">
        <f>IF(ISBLANK(F40),"-",$D$48/$F$45*F40)</f>
        <v>2852182.649213694</v>
      </c>
      <c r="I40" s="275"/>
      <c r="L40" s="68"/>
      <c r="M40" s="68"/>
      <c r="N40" s="49"/>
    </row>
    <row r="41" spans="1:14" ht="27" customHeight="1" thickBot="1" x14ac:dyDescent="0.45">
      <c r="A41" s="75" t="s">
        <v>67</v>
      </c>
      <c r="B41" s="76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8"/>
      <c r="M41" s="68"/>
      <c r="N41" s="49"/>
    </row>
    <row r="42" spans="1:14" ht="27" customHeight="1" thickBot="1" x14ac:dyDescent="0.45">
      <c r="A42" s="75" t="s">
        <v>68</v>
      </c>
      <c r="B42" s="76">
        <v>1</v>
      </c>
      <c r="C42" s="96" t="s">
        <v>69</v>
      </c>
      <c r="D42" s="97">
        <f>AVERAGE(D38:D41)</f>
        <v>2849972</v>
      </c>
      <c r="E42" s="98">
        <f>AVERAGE(E38:E41)</f>
        <v>2819314.7711782083</v>
      </c>
      <c r="F42" s="97">
        <f>AVERAGE(F38:F41)</f>
        <v>2980158.6666666665</v>
      </c>
      <c r="G42" s="99">
        <f>AVERAGE(G38:G41)</f>
        <v>2848758.267212363</v>
      </c>
      <c r="H42" s="100"/>
    </row>
    <row r="43" spans="1:14" ht="26.25" customHeight="1" x14ac:dyDescent="0.4">
      <c r="A43" s="75" t="s">
        <v>70</v>
      </c>
      <c r="B43" s="76">
        <v>1</v>
      </c>
      <c r="C43" s="101" t="s">
        <v>71</v>
      </c>
      <c r="D43" s="102">
        <v>20.36</v>
      </c>
      <c r="E43" s="49"/>
      <c r="F43" s="102">
        <v>21.07</v>
      </c>
      <c r="H43" s="100"/>
    </row>
    <row r="44" spans="1:14" ht="26.25" customHeight="1" x14ac:dyDescent="0.4">
      <c r="A44" s="75" t="s">
        <v>72</v>
      </c>
      <c r="B44" s="76">
        <v>1</v>
      </c>
      <c r="C44" s="103" t="s">
        <v>73</v>
      </c>
      <c r="D44" s="104">
        <f>D43*$B$34</f>
        <v>20.36</v>
      </c>
      <c r="E44" s="105"/>
      <c r="F44" s="104">
        <f>F43*$B$34</f>
        <v>21.07</v>
      </c>
      <c r="H44" s="100"/>
    </row>
    <row r="45" spans="1:14" ht="19.5" customHeight="1" thickBot="1" x14ac:dyDescent="0.35">
      <c r="A45" s="75" t="s">
        <v>74</v>
      </c>
      <c r="B45" s="87">
        <f>(B44/B43)*(B42/B41)*(B40/B39)*(B38/B37)*B36</f>
        <v>625</v>
      </c>
      <c r="C45" s="103" t="s">
        <v>75</v>
      </c>
      <c r="D45" s="106">
        <f>D44*$B$30/100</f>
        <v>20.217479999999998</v>
      </c>
      <c r="E45" s="107"/>
      <c r="F45" s="106">
        <f>F44*$B$30/100</f>
        <v>20.922509999999999</v>
      </c>
      <c r="H45" s="100"/>
    </row>
    <row r="46" spans="1:14" ht="19.5" customHeight="1" thickBot="1" x14ac:dyDescent="0.35">
      <c r="A46" s="276" t="s">
        <v>76</v>
      </c>
      <c r="B46" s="280"/>
      <c r="C46" s="103" t="s">
        <v>77</v>
      </c>
      <c r="D46" s="108">
        <f>D45/$B$45</f>
        <v>3.2347967999999998E-2</v>
      </c>
      <c r="E46" s="109"/>
      <c r="F46" s="110">
        <f>F45/$B$45</f>
        <v>3.3476015999999997E-2</v>
      </c>
      <c r="H46" s="100"/>
    </row>
    <row r="47" spans="1:14" ht="27" customHeight="1" thickBot="1" x14ac:dyDescent="0.45">
      <c r="A47" s="278"/>
      <c r="B47" s="281"/>
      <c r="C47" s="111" t="s">
        <v>78</v>
      </c>
      <c r="D47" s="112">
        <v>3.2000000000000001E-2</v>
      </c>
      <c r="E47" s="113"/>
      <c r="F47" s="109"/>
      <c r="H47" s="100"/>
    </row>
    <row r="48" spans="1:14" ht="18.75" x14ac:dyDescent="0.3">
      <c r="C48" s="114" t="s">
        <v>79</v>
      </c>
      <c r="D48" s="106">
        <f>D47*$B$45</f>
        <v>20</v>
      </c>
      <c r="F48" s="115"/>
      <c r="H48" s="100"/>
    </row>
    <row r="49" spans="1:12" ht="19.5" customHeight="1" thickBot="1" x14ac:dyDescent="0.35">
      <c r="C49" s="116" t="s">
        <v>80</v>
      </c>
      <c r="D49" s="117">
        <f>D48/B34</f>
        <v>20</v>
      </c>
      <c r="F49" s="115"/>
      <c r="H49" s="100"/>
    </row>
    <row r="50" spans="1:12" ht="18.75" x14ac:dyDescent="0.3">
      <c r="C50" s="73" t="s">
        <v>81</v>
      </c>
      <c r="D50" s="118">
        <f>AVERAGE(E38:E41,G38:G41)</f>
        <v>2834036.5191952861</v>
      </c>
      <c r="F50" s="119"/>
      <c r="H50" s="100"/>
    </row>
    <row r="51" spans="1:12" ht="18.75" x14ac:dyDescent="0.3">
      <c r="C51" s="75" t="s">
        <v>82</v>
      </c>
      <c r="D51" s="120">
        <f>STDEV(E38:E41,G38:G41)/D50</f>
        <v>6.0027874492597656E-3</v>
      </c>
      <c r="F51" s="119"/>
      <c r="H51" s="100"/>
    </row>
    <row r="52" spans="1:12" ht="19.5" customHeight="1" thickBot="1" x14ac:dyDescent="0.35">
      <c r="C52" s="121" t="s">
        <v>18</v>
      </c>
      <c r="D52" s="122">
        <f>COUNT(E38:E41,G38:G41)</f>
        <v>6</v>
      </c>
      <c r="F52" s="119"/>
    </row>
    <row r="54" spans="1:12" ht="18.75" x14ac:dyDescent="0.3">
      <c r="A54" s="123" t="s">
        <v>1</v>
      </c>
      <c r="B54" s="124" t="s">
        <v>83</v>
      </c>
    </row>
    <row r="55" spans="1:12" ht="18.75" x14ac:dyDescent="0.3">
      <c r="A55" s="49" t="s">
        <v>84</v>
      </c>
      <c r="B55" s="125" t="str">
        <f>B21</f>
        <v>Each tablet contains: Sulphamethoxazole B.P. 800 mg and Trimethoprim B.P. 160 mg.</v>
      </c>
    </row>
    <row r="56" spans="1:12" ht="26.25" customHeight="1" x14ac:dyDescent="0.4">
      <c r="A56" s="125" t="s">
        <v>85</v>
      </c>
      <c r="B56" s="126">
        <v>160</v>
      </c>
      <c r="C56" s="49" t="str">
        <f>B20</f>
        <v>Sulfamethoxazole &amp; Trimethoprim</v>
      </c>
      <c r="H56" s="105"/>
    </row>
    <row r="57" spans="1:12" ht="18.75" x14ac:dyDescent="0.3">
      <c r="A57" s="125" t="s">
        <v>86</v>
      </c>
      <c r="B57" s="127">
        <f>'Uniformity (2)'!C46</f>
        <v>1038.9550000000002</v>
      </c>
      <c r="H57" s="105"/>
    </row>
    <row r="58" spans="1:12" ht="19.5" customHeight="1" thickBot="1" x14ac:dyDescent="0.35">
      <c r="H58" s="105"/>
    </row>
    <row r="59" spans="1:12" s="12" customFormat="1" ht="27" customHeight="1" thickBot="1" x14ac:dyDescent="0.45">
      <c r="A59" s="73" t="s">
        <v>87</v>
      </c>
      <c r="B59" s="74">
        <v>100</v>
      </c>
      <c r="C59" s="49"/>
      <c r="D59" s="128" t="s">
        <v>88</v>
      </c>
      <c r="E59" s="129" t="s">
        <v>60</v>
      </c>
      <c r="F59" s="129" t="s">
        <v>61</v>
      </c>
      <c r="G59" s="129" t="s">
        <v>89</v>
      </c>
      <c r="H59" s="77" t="s">
        <v>90</v>
      </c>
      <c r="L59" s="63"/>
    </row>
    <row r="60" spans="1:12" s="12" customFormat="1" ht="26.25" customHeight="1" x14ac:dyDescent="0.4">
      <c r="A60" s="75" t="s">
        <v>91</v>
      </c>
      <c r="B60" s="76">
        <v>2</v>
      </c>
      <c r="C60" s="296" t="s">
        <v>92</v>
      </c>
      <c r="D60" s="299">
        <f>Sulfamethoxazole!D60</f>
        <v>1038.02</v>
      </c>
      <c r="E60" s="130">
        <v>1</v>
      </c>
      <c r="F60" s="131">
        <v>2757416</v>
      </c>
      <c r="G60" s="132">
        <f>IF(ISBLANK(F60),"-",(F60/$D$50*$D$47*$B$68)*($B$57/$D$60))</f>
        <v>155.8144919037689</v>
      </c>
      <c r="H60" s="133">
        <f t="shared" ref="H60:H71" si="0">IF(ISBLANK(F60),"-",(G60/$B$56)*100)</f>
        <v>97.384057439855567</v>
      </c>
      <c r="L60" s="63"/>
    </row>
    <row r="61" spans="1:12" s="12" customFormat="1" ht="26.25" customHeight="1" x14ac:dyDescent="0.4">
      <c r="A61" s="75" t="s">
        <v>93</v>
      </c>
      <c r="B61" s="76">
        <v>100</v>
      </c>
      <c r="C61" s="297"/>
      <c r="D61" s="300"/>
      <c r="E61" s="134">
        <v>2</v>
      </c>
      <c r="F61" s="88">
        <v>2768794</v>
      </c>
      <c r="G61" s="135">
        <f>IF(ISBLANK(F61),"-",(F61/$D$50*$D$47*$B$68)*($B$57/$D$60))</f>
        <v>156.45743344355873</v>
      </c>
      <c r="H61" s="136">
        <f t="shared" si="0"/>
        <v>97.785895902224212</v>
      </c>
      <c r="L61" s="63"/>
    </row>
    <row r="62" spans="1:12" s="12" customFormat="1" ht="26.25" customHeight="1" x14ac:dyDescent="0.4">
      <c r="A62" s="75" t="s">
        <v>94</v>
      </c>
      <c r="B62" s="76">
        <v>1</v>
      </c>
      <c r="C62" s="297"/>
      <c r="D62" s="300"/>
      <c r="E62" s="134">
        <v>3</v>
      </c>
      <c r="F62" s="137">
        <v>2761296</v>
      </c>
      <c r="G62" s="135">
        <f>IF(ISBLANK(F62),"-",(F62/$D$50*$D$47*$B$68)*($B$57/$D$60))</f>
        <v>156.03374073259508</v>
      </c>
      <c r="H62" s="136">
        <f t="shared" si="0"/>
        <v>97.521087957871927</v>
      </c>
      <c r="L62" s="63"/>
    </row>
    <row r="63" spans="1:12" ht="27" customHeight="1" thickBot="1" x14ac:dyDescent="0.45">
      <c r="A63" s="75" t="s">
        <v>95</v>
      </c>
      <c r="B63" s="76">
        <v>1</v>
      </c>
      <c r="C63" s="298"/>
      <c r="D63" s="301"/>
      <c r="E63" s="138">
        <v>4</v>
      </c>
      <c r="F63" s="139"/>
      <c r="G63" s="135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5" t="s">
        <v>96</v>
      </c>
      <c r="B64" s="76">
        <v>1</v>
      </c>
      <c r="C64" s="296" t="s">
        <v>97</v>
      </c>
      <c r="D64" s="299">
        <f>Sulfamethoxazole!D64</f>
        <v>1038.54</v>
      </c>
      <c r="E64" s="130">
        <v>1</v>
      </c>
      <c r="F64" s="131">
        <v>2755768</v>
      </c>
      <c r="G64" s="132">
        <f>IF(ISBLANK(F64),"-",(F64/$D$50*$D$47*$B$68)*($B$57/$D$64))</f>
        <v>155.64339751703451</v>
      </c>
      <c r="H64" s="133">
        <f t="shared" si="0"/>
        <v>97.277123448146568</v>
      </c>
    </row>
    <row r="65" spans="1:8" ht="26.25" customHeight="1" x14ac:dyDescent="0.4">
      <c r="A65" s="75" t="s">
        <v>98</v>
      </c>
      <c r="B65" s="76">
        <v>1</v>
      </c>
      <c r="C65" s="297"/>
      <c r="D65" s="300"/>
      <c r="E65" s="134">
        <v>2</v>
      </c>
      <c r="F65" s="88">
        <v>2770185</v>
      </c>
      <c r="G65" s="135">
        <f>IF(ISBLANK(F65),"-",(F65/$D$50*$D$47*$B$68)*($B$57/$D$64))</f>
        <v>156.45765723048032</v>
      </c>
      <c r="H65" s="136">
        <f t="shared" si="0"/>
        <v>97.786035769050201</v>
      </c>
    </row>
    <row r="66" spans="1:8" ht="26.25" customHeight="1" x14ac:dyDescent="0.4">
      <c r="A66" s="75" t="s">
        <v>99</v>
      </c>
      <c r="B66" s="76">
        <v>1</v>
      </c>
      <c r="C66" s="297"/>
      <c r="D66" s="300"/>
      <c r="E66" s="134">
        <v>3</v>
      </c>
      <c r="F66" s="88">
        <v>2752235</v>
      </c>
      <c r="G66" s="135">
        <f>IF(ISBLANK(F66),"-",(F66/$D$50*$D$47*$B$68)*($B$57/$D$64))</f>
        <v>155.4438567271612</v>
      </c>
      <c r="H66" s="136">
        <f t="shared" si="0"/>
        <v>97.152410454475756</v>
      </c>
    </row>
    <row r="67" spans="1:8" ht="27" customHeight="1" thickBot="1" x14ac:dyDescent="0.45">
      <c r="A67" s="75" t="s">
        <v>100</v>
      </c>
      <c r="B67" s="76">
        <v>1</v>
      </c>
      <c r="C67" s="298"/>
      <c r="D67" s="301"/>
      <c r="E67" s="138">
        <v>4</v>
      </c>
      <c r="F67" s="139"/>
      <c r="G67" s="140" t="str">
        <f>IF(ISBLANK(F67),"-",(F67/$D$50*$D$47*$B$68)*($B$57/$D$64))</f>
        <v>-</v>
      </c>
      <c r="H67" s="141" t="str">
        <f t="shared" si="0"/>
        <v>-</v>
      </c>
    </row>
    <row r="68" spans="1:8" ht="26.25" customHeight="1" x14ac:dyDescent="0.4">
      <c r="A68" s="75" t="s">
        <v>101</v>
      </c>
      <c r="B68" s="142">
        <f>(B67/B66)*(B65/B64)*(B63/B62)*(B61/B60)*B59</f>
        <v>5000</v>
      </c>
      <c r="C68" s="296" t="s">
        <v>102</v>
      </c>
      <c r="D68" s="299">
        <f>Sulfamethoxazole!D68</f>
        <v>1040.67</v>
      </c>
      <c r="E68" s="130">
        <v>1</v>
      </c>
      <c r="F68" s="131">
        <v>2741799</v>
      </c>
      <c r="G68" s="132">
        <f>IF(ISBLANK(F68),"-",(F68/$D$50*$D$47*$B$68)*($B$57/$D$68))</f>
        <v>154.53749083957933</v>
      </c>
      <c r="H68" s="136">
        <f t="shared" si="0"/>
        <v>96.585931774737091</v>
      </c>
    </row>
    <row r="69" spans="1:8" ht="27" customHeight="1" thickBot="1" x14ac:dyDescent="0.45">
      <c r="A69" s="121" t="s">
        <v>103</v>
      </c>
      <c r="B69" s="143">
        <f>(D47*B68)/B56*B57</f>
        <v>1038.9550000000002</v>
      </c>
      <c r="C69" s="297"/>
      <c r="D69" s="300"/>
      <c r="E69" s="134">
        <v>2</v>
      </c>
      <c r="F69" s="88">
        <v>2755810</v>
      </c>
      <c r="G69" s="135">
        <f>IF(ISBLANK(F69),"-",(F69/$D$50*$D$47*$B$68)*($B$57/$D$68))</f>
        <v>155.32720036392936</v>
      </c>
      <c r="H69" s="136">
        <f t="shared" si="0"/>
        <v>97.079500227455853</v>
      </c>
    </row>
    <row r="70" spans="1:8" ht="26.25" customHeight="1" x14ac:dyDescent="0.4">
      <c r="A70" s="303" t="s">
        <v>76</v>
      </c>
      <c r="B70" s="304"/>
      <c r="C70" s="297"/>
      <c r="D70" s="300"/>
      <c r="E70" s="134">
        <v>3</v>
      </c>
      <c r="F70" s="88">
        <v>2765208</v>
      </c>
      <c r="G70" s="135">
        <f>IF(ISBLANK(F70),"-",(F70/$D$50*$D$47*$B$68)*($B$57/$D$68))</f>
        <v>155.85690488964781</v>
      </c>
      <c r="H70" s="136">
        <f t="shared" si="0"/>
        <v>97.41056555602988</v>
      </c>
    </row>
    <row r="71" spans="1:8" ht="27" customHeight="1" thickBot="1" x14ac:dyDescent="0.45">
      <c r="A71" s="305"/>
      <c r="B71" s="306"/>
      <c r="C71" s="302"/>
      <c r="D71" s="301"/>
      <c r="E71" s="138">
        <v>4</v>
      </c>
      <c r="F71" s="139"/>
      <c r="G71" s="140" t="str">
        <f>IF(ISBLANK(F71),"-",(F71/$D$50*$D$47*$B$68)*($B$57/$D$68))</f>
        <v>-</v>
      </c>
      <c r="H71" s="141" t="str">
        <f t="shared" si="0"/>
        <v>-</v>
      </c>
    </row>
    <row r="72" spans="1:8" ht="26.25" customHeight="1" x14ac:dyDescent="0.4">
      <c r="A72" s="105"/>
      <c r="B72" s="105"/>
      <c r="C72" s="105"/>
      <c r="D72" s="105"/>
      <c r="E72" s="105"/>
      <c r="F72" s="144" t="s">
        <v>69</v>
      </c>
      <c r="G72" s="145">
        <f>AVERAGE(G60:G71)</f>
        <v>155.73024151641727</v>
      </c>
      <c r="H72" s="146">
        <f>AVERAGE(H60:H71)</f>
        <v>97.33140094776077</v>
      </c>
    </row>
    <row r="73" spans="1:8" ht="26.25" customHeight="1" x14ac:dyDescent="0.4">
      <c r="C73" s="105"/>
      <c r="D73" s="105"/>
      <c r="E73" s="105"/>
      <c r="F73" s="147" t="s">
        <v>82</v>
      </c>
      <c r="G73" s="148">
        <f>STDEV(G60:G71)/G72</f>
        <v>3.8312507989202074E-3</v>
      </c>
      <c r="H73" s="148">
        <f>STDEV(H60:H71)/H72</f>
        <v>3.831250798920203E-3</v>
      </c>
    </row>
    <row r="74" spans="1:8" ht="27" customHeight="1" thickBot="1" x14ac:dyDescent="0.45">
      <c r="A74" s="105"/>
      <c r="B74" s="105"/>
      <c r="C74" s="105"/>
      <c r="D74" s="105"/>
      <c r="E74" s="107"/>
      <c r="F74" s="149" t="s">
        <v>18</v>
      </c>
      <c r="G74" s="150">
        <f>COUNT(G60:G71)</f>
        <v>9</v>
      </c>
      <c r="H74" s="150">
        <f>COUNT(H60:H71)</f>
        <v>9</v>
      </c>
    </row>
    <row r="76" spans="1:8" ht="26.25" customHeight="1" x14ac:dyDescent="0.4">
      <c r="A76" s="59" t="s">
        <v>104</v>
      </c>
      <c r="B76" s="60" t="s">
        <v>105</v>
      </c>
      <c r="C76" s="284" t="str">
        <f>B26</f>
        <v>Trimethoprim</v>
      </c>
      <c r="D76" s="284"/>
      <c r="E76" s="49" t="s">
        <v>106</v>
      </c>
      <c r="F76" s="49"/>
      <c r="G76" s="151">
        <f>H72</f>
        <v>97.33140094776077</v>
      </c>
      <c r="H76" s="64"/>
    </row>
    <row r="77" spans="1:8" ht="18.75" x14ac:dyDescent="0.3">
      <c r="A77" s="58" t="s">
        <v>107</v>
      </c>
      <c r="B77" s="58" t="s">
        <v>108</v>
      </c>
    </row>
    <row r="78" spans="1:8" ht="18.75" x14ac:dyDescent="0.3">
      <c r="A78" s="58"/>
      <c r="B78" s="58"/>
    </row>
    <row r="79" spans="1:8" ht="26.25" customHeight="1" x14ac:dyDescent="0.4">
      <c r="A79" s="59" t="s">
        <v>4</v>
      </c>
      <c r="B79" s="286" t="str">
        <f>B26</f>
        <v>Trimethoprim</v>
      </c>
      <c r="C79" s="286"/>
    </row>
    <row r="80" spans="1:8" ht="26.25" customHeight="1" x14ac:dyDescent="0.4">
      <c r="A80" s="60" t="s">
        <v>46</v>
      </c>
      <c r="B80" s="286" t="str">
        <f>B27</f>
        <v>T7-4</v>
      </c>
      <c r="C80" s="286"/>
    </row>
    <row r="81" spans="1:12" ht="27" customHeight="1" thickBot="1" x14ac:dyDescent="0.45">
      <c r="A81" s="60" t="s">
        <v>6</v>
      </c>
      <c r="B81" s="61">
        <f>B28</f>
        <v>99.3</v>
      </c>
    </row>
    <row r="82" spans="1:12" s="12" customFormat="1" ht="27" customHeight="1" thickBot="1" x14ac:dyDescent="0.45">
      <c r="A82" s="60" t="s">
        <v>47</v>
      </c>
      <c r="B82" s="62">
        <v>0</v>
      </c>
      <c r="C82" s="287" t="s">
        <v>48</v>
      </c>
      <c r="D82" s="288"/>
      <c r="E82" s="288"/>
      <c r="F82" s="288"/>
      <c r="G82" s="289"/>
      <c r="I82" s="63"/>
      <c r="J82" s="63"/>
      <c r="K82" s="63"/>
      <c r="L82" s="63"/>
    </row>
    <row r="83" spans="1:12" s="12" customFormat="1" ht="19.5" customHeight="1" thickBot="1" x14ac:dyDescent="0.35">
      <c r="A83" s="60" t="s">
        <v>49</v>
      </c>
      <c r="B83" s="64">
        <f>B81-B82</f>
        <v>99.3</v>
      </c>
      <c r="C83" s="65"/>
      <c r="D83" s="65"/>
      <c r="E83" s="65"/>
      <c r="F83" s="65"/>
      <c r="G83" s="66"/>
      <c r="I83" s="63"/>
      <c r="J83" s="63"/>
      <c r="K83" s="63"/>
      <c r="L83" s="63"/>
    </row>
    <row r="84" spans="1:12" s="12" customFormat="1" ht="27" customHeight="1" thickBot="1" x14ac:dyDescent="0.45">
      <c r="A84" s="60" t="s">
        <v>50</v>
      </c>
      <c r="B84" s="67">
        <v>1</v>
      </c>
      <c r="C84" s="290" t="s">
        <v>109</v>
      </c>
      <c r="D84" s="291"/>
      <c r="E84" s="291"/>
      <c r="F84" s="291"/>
      <c r="G84" s="291"/>
      <c r="H84" s="292"/>
      <c r="I84" s="63"/>
      <c r="J84" s="63"/>
      <c r="K84" s="63"/>
      <c r="L84" s="63"/>
    </row>
    <row r="85" spans="1:12" s="12" customFormat="1" ht="27" customHeight="1" thickBot="1" x14ac:dyDescent="0.45">
      <c r="A85" s="60" t="s">
        <v>52</v>
      </c>
      <c r="B85" s="67">
        <v>1</v>
      </c>
      <c r="C85" s="290" t="s">
        <v>110</v>
      </c>
      <c r="D85" s="291"/>
      <c r="E85" s="291"/>
      <c r="F85" s="291"/>
      <c r="G85" s="291"/>
      <c r="H85" s="292"/>
      <c r="I85" s="63"/>
      <c r="J85" s="63"/>
      <c r="K85" s="63"/>
      <c r="L85" s="63"/>
    </row>
    <row r="86" spans="1:12" s="12" customFormat="1" ht="18.75" x14ac:dyDescent="0.3">
      <c r="A86" s="60"/>
      <c r="B86" s="70"/>
      <c r="C86" s="71"/>
      <c r="D86" s="71"/>
      <c r="E86" s="71"/>
      <c r="F86" s="71"/>
      <c r="G86" s="71"/>
      <c r="H86" s="71"/>
      <c r="I86" s="63"/>
      <c r="J86" s="63"/>
      <c r="K86" s="63"/>
      <c r="L86" s="63"/>
    </row>
    <row r="87" spans="1:12" s="12" customFormat="1" ht="18.75" x14ac:dyDescent="0.3">
      <c r="A87" s="60" t="s">
        <v>54</v>
      </c>
      <c r="B87" s="72">
        <f>B84/B85</f>
        <v>1</v>
      </c>
      <c r="C87" s="49" t="s">
        <v>55</v>
      </c>
      <c r="D87" s="49"/>
      <c r="E87" s="49"/>
      <c r="F87" s="49"/>
      <c r="G87" s="49"/>
      <c r="I87" s="63"/>
      <c r="J87" s="63"/>
      <c r="K87" s="63"/>
      <c r="L87" s="63"/>
    </row>
    <row r="88" spans="1:12" ht="19.5" customHeight="1" thickBot="1" x14ac:dyDescent="0.35">
      <c r="A88" s="58"/>
      <c r="B88" s="58"/>
    </row>
    <row r="89" spans="1:12" ht="27" customHeight="1" thickBot="1" x14ac:dyDescent="0.45">
      <c r="A89" s="73" t="s">
        <v>56</v>
      </c>
      <c r="B89" s="74">
        <v>25</v>
      </c>
      <c r="D89" s="152" t="s">
        <v>57</v>
      </c>
      <c r="E89" s="153"/>
      <c r="F89" s="293" t="s">
        <v>58</v>
      </c>
      <c r="G89" s="294"/>
    </row>
    <row r="90" spans="1:12" ht="27" customHeight="1" thickBot="1" x14ac:dyDescent="0.45">
      <c r="A90" s="75" t="s">
        <v>59</v>
      </c>
      <c r="B90" s="76">
        <v>4</v>
      </c>
      <c r="C90" s="154" t="s">
        <v>60</v>
      </c>
      <c r="D90" s="78" t="s">
        <v>61</v>
      </c>
      <c r="E90" s="79" t="s">
        <v>62</v>
      </c>
      <c r="F90" s="78" t="s">
        <v>61</v>
      </c>
      <c r="G90" s="155" t="s">
        <v>62</v>
      </c>
      <c r="I90" s="81" t="s">
        <v>63</v>
      </c>
    </row>
    <row r="91" spans="1:12" ht="26.25" customHeight="1" x14ac:dyDescent="0.4">
      <c r="A91" s="75" t="s">
        <v>64</v>
      </c>
      <c r="B91" s="76">
        <v>100</v>
      </c>
      <c r="C91" s="156">
        <v>1</v>
      </c>
      <c r="D91" s="83">
        <v>2841648</v>
      </c>
      <c r="E91" s="84">
        <f>IF(ISBLANK(D91),"-",$D$101/$D$98*D91)</f>
        <v>3123422.5696443538</v>
      </c>
      <c r="F91" s="83">
        <v>2974695</v>
      </c>
      <c r="G91" s="85">
        <f>IF(ISBLANK(F91),"-",$D$101/$F$98*F91)</f>
        <v>3159483.8923883094</v>
      </c>
      <c r="I91" s="86"/>
    </row>
    <row r="92" spans="1:12" ht="26.25" customHeight="1" x14ac:dyDescent="0.4">
      <c r="A92" s="75" t="s">
        <v>65</v>
      </c>
      <c r="B92" s="76">
        <v>1</v>
      </c>
      <c r="C92" s="105">
        <v>2</v>
      </c>
      <c r="D92" s="88">
        <v>2855316</v>
      </c>
      <c r="E92" s="89">
        <f>IF(ISBLANK(D92),"-",$D$101/$D$98*D92)</f>
        <v>3138445.8729112959</v>
      </c>
      <c r="F92" s="88">
        <v>2982040</v>
      </c>
      <c r="G92" s="90">
        <f>IF(ISBLANK(F92),"-",$D$101/$F$98*F92)</f>
        <v>3167285.1658599065</v>
      </c>
      <c r="I92" s="275">
        <f>ABS((F96/D96*D95)-F95)/D95</f>
        <v>1.0807682324765842E-2</v>
      </c>
    </row>
    <row r="93" spans="1:12" ht="26.25" customHeight="1" x14ac:dyDescent="0.4">
      <c r="A93" s="75" t="s">
        <v>66</v>
      </c>
      <c r="B93" s="76">
        <v>1</v>
      </c>
      <c r="C93" s="105">
        <v>3</v>
      </c>
      <c r="D93" s="88">
        <v>2852952</v>
      </c>
      <c r="E93" s="89">
        <f>IF(ISBLANK(D93),"-",$D$101/$D$98*D93)</f>
        <v>3135847.4613717105</v>
      </c>
      <c r="F93" s="88">
        <v>2983741</v>
      </c>
      <c r="G93" s="90">
        <f>IF(ISBLANK(F93),"-",$D$101/$F$98*F93)</f>
        <v>3169091.8324596593</v>
      </c>
      <c r="I93" s="275"/>
    </row>
    <row r="94" spans="1:12" ht="27" customHeight="1" thickBot="1" x14ac:dyDescent="0.45">
      <c r="A94" s="75" t="s">
        <v>67</v>
      </c>
      <c r="B94" s="76">
        <v>1</v>
      </c>
      <c r="C94" s="157">
        <v>4</v>
      </c>
      <c r="D94" s="92"/>
      <c r="E94" s="93" t="str">
        <f>IF(ISBLANK(D94),"-",$D$101/$D$98*D94)</f>
        <v>-</v>
      </c>
      <c r="F94" s="158"/>
      <c r="G94" s="94" t="str">
        <f>IF(ISBLANK(F94),"-",$D$101/$F$98*F94)</f>
        <v>-</v>
      </c>
      <c r="I94" s="95"/>
    </row>
    <row r="95" spans="1:12" ht="27" customHeight="1" thickBot="1" x14ac:dyDescent="0.45">
      <c r="A95" s="75" t="s">
        <v>68</v>
      </c>
      <c r="B95" s="76">
        <v>1</v>
      </c>
      <c r="C95" s="60" t="s">
        <v>69</v>
      </c>
      <c r="D95" s="159">
        <f>AVERAGE(D91:D94)</f>
        <v>2849972</v>
      </c>
      <c r="E95" s="98">
        <f>AVERAGE(E91:E94)</f>
        <v>3132571.9679757864</v>
      </c>
      <c r="F95" s="160">
        <f>AVERAGE(F91:F94)</f>
        <v>2980158.6666666665</v>
      </c>
      <c r="G95" s="161">
        <f>AVERAGE(G91:G94)</f>
        <v>3165286.9635692923</v>
      </c>
    </row>
    <row r="96" spans="1:12" ht="26.25" customHeight="1" x14ac:dyDescent="0.4">
      <c r="A96" s="75" t="s">
        <v>70</v>
      </c>
      <c r="B96" s="61">
        <v>1</v>
      </c>
      <c r="C96" s="162" t="s">
        <v>111</v>
      </c>
      <c r="D96" s="163">
        <v>20.36</v>
      </c>
      <c r="E96" s="49"/>
      <c r="F96" s="102">
        <v>21.07</v>
      </c>
    </row>
    <row r="97" spans="1:10" ht="26.25" customHeight="1" x14ac:dyDescent="0.4">
      <c r="A97" s="75" t="s">
        <v>72</v>
      </c>
      <c r="B97" s="61">
        <v>1</v>
      </c>
      <c r="C97" s="164" t="s">
        <v>112</v>
      </c>
      <c r="D97" s="165">
        <f>D96*$B$87</f>
        <v>20.36</v>
      </c>
      <c r="E97" s="105"/>
      <c r="F97" s="104">
        <f>F96*$B$87</f>
        <v>21.07</v>
      </c>
    </row>
    <row r="98" spans="1:10" ht="19.5" customHeight="1" thickBot="1" x14ac:dyDescent="0.35">
      <c r="A98" s="75" t="s">
        <v>74</v>
      </c>
      <c r="B98" s="105">
        <f>(B97/B96)*(B95/B94)*(B93/B92)*(B91/B90)*B89</f>
        <v>625</v>
      </c>
      <c r="C98" s="164" t="s">
        <v>113</v>
      </c>
      <c r="D98" s="166">
        <f>D97*$B$83/100</f>
        <v>20.217479999999998</v>
      </c>
      <c r="E98" s="107"/>
      <c r="F98" s="106">
        <f>F97*$B$83/100</f>
        <v>20.922509999999999</v>
      </c>
    </row>
    <row r="99" spans="1:10" ht="19.5" customHeight="1" thickBot="1" x14ac:dyDescent="0.35">
      <c r="A99" s="276" t="s">
        <v>76</v>
      </c>
      <c r="B99" s="277"/>
      <c r="C99" s="164" t="s">
        <v>114</v>
      </c>
      <c r="D99" s="167">
        <f>D98/$B$98</f>
        <v>3.2347967999999998E-2</v>
      </c>
      <c r="E99" s="107"/>
      <c r="F99" s="110">
        <f>F98/$B$98</f>
        <v>3.3476015999999997E-2</v>
      </c>
      <c r="H99" s="100"/>
    </row>
    <row r="100" spans="1:10" ht="19.5" customHeight="1" thickBot="1" x14ac:dyDescent="0.35">
      <c r="A100" s="278"/>
      <c r="B100" s="279"/>
      <c r="C100" s="164" t="s">
        <v>78</v>
      </c>
      <c r="D100" s="168">
        <f>$B$56/$B$116</f>
        <v>3.5555555555555556E-2</v>
      </c>
      <c r="F100" s="115"/>
      <c r="G100" s="169"/>
      <c r="H100" s="100"/>
    </row>
    <row r="101" spans="1:10" ht="18.75" x14ac:dyDescent="0.3">
      <c r="C101" s="164" t="s">
        <v>79</v>
      </c>
      <c r="D101" s="165">
        <f>D100*$B$98</f>
        <v>22.222222222222221</v>
      </c>
      <c r="F101" s="115"/>
      <c r="H101" s="100"/>
    </row>
    <row r="102" spans="1:10" ht="19.5" customHeight="1" thickBot="1" x14ac:dyDescent="0.35">
      <c r="C102" s="170" t="s">
        <v>80</v>
      </c>
      <c r="D102" s="171">
        <f>D101/B34</f>
        <v>22.222222222222221</v>
      </c>
      <c r="F102" s="119"/>
      <c r="H102" s="100"/>
      <c r="J102" s="172"/>
    </row>
    <row r="103" spans="1:10" ht="18.75" x14ac:dyDescent="0.3">
      <c r="C103" s="173" t="s">
        <v>115</v>
      </c>
      <c r="D103" s="174">
        <f>AVERAGE(E91:E94,G91:G94)</f>
        <v>3148929.4657725394</v>
      </c>
      <c r="F103" s="119"/>
      <c r="G103" s="169"/>
      <c r="H103" s="100"/>
      <c r="J103" s="175"/>
    </row>
    <row r="104" spans="1:10" ht="18.75" x14ac:dyDescent="0.3">
      <c r="C104" s="147" t="s">
        <v>82</v>
      </c>
      <c r="D104" s="176">
        <f>STDEV(E91:E94,G91:G94)/D103</f>
        <v>6.0027874492597187E-3</v>
      </c>
      <c r="F104" s="119"/>
      <c r="H104" s="100"/>
      <c r="J104" s="175"/>
    </row>
    <row r="105" spans="1:10" ht="19.5" customHeight="1" thickBot="1" x14ac:dyDescent="0.35">
      <c r="C105" s="149" t="s">
        <v>18</v>
      </c>
      <c r="D105" s="177">
        <f>COUNT(E91:E94,G91:G94)</f>
        <v>6</v>
      </c>
      <c r="F105" s="119"/>
      <c r="H105" s="100"/>
      <c r="J105" s="175"/>
    </row>
    <row r="106" spans="1:10" ht="19.5" customHeight="1" thickBot="1" x14ac:dyDescent="0.35">
      <c r="A106" s="123"/>
      <c r="B106" s="123"/>
      <c r="C106" s="123"/>
      <c r="D106" s="123"/>
      <c r="E106" s="123"/>
    </row>
    <row r="107" spans="1:10" ht="27" customHeight="1" thickBot="1" x14ac:dyDescent="0.45">
      <c r="A107" s="73" t="s">
        <v>116</v>
      </c>
      <c r="B107" s="74">
        <v>900</v>
      </c>
      <c r="C107" s="129" t="s">
        <v>117</v>
      </c>
      <c r="D107" s="129" t="s">
        <v>61</v>
      </c>
      <c r="E107" s="129" t="s">
        <v>118</v>
      </c>
      <c r="F107" s="178" t="s">
        <v>119</v>
      </c>
    </row>
    <row r="108" spans="1:10" ht="26.25" customHeight="1" x14ac:dyDescent="0.4">
      <c r="A108" s="75" t="s">
        <v>120</v>
      </c>
      <c r="B108" s="76">
        <v>10</v>
      </c>
      <c r="C108" s="130">
        <v>1</v>
      </c>
      <c r="D108" s="179">
        <v>2709825</v>
      </c>
      <c r="E108" s="180">
        <f t="shared" ref="E108:E113" si="1">IF(ISBLANK(D108),"-",D108/$D$103*$D$100*$B$116)</f>
        <v>137.68869856017244</v>
      </c>
      <c r="F108" s="181">
        <f t="shared" ref="F108:F113" si="2">IF(ISBLANK(D108), "-", (E108/$B$56)*100)</f>
        <v>86.055436600107768</v>
      </c>
    </row>
    <row r="109" spans="1:10" ht="26.25" customHeight="1" x14ac:dyDescent="0.4">
      <c r="A109" s="75" t="s">
        <v>93</v>
      </c>
      <c r="B109" s="76">
        <v>50</v>
      </c>
      <c r="C109" s="134">
        <v>2</v>
      </c>
      <c r="D109" s="182">
        <v>2699384</v>
      </c>
      <c r="E109" s="183">
        <f t="shared" si="1"/>
        <v>137.15818175496665</v>
      </c>
      <c r="F109" s="184">
        <f t="shared" si="2"/>
        <v>85.723863596854159</v>
      </c>
    </row>
    <row r="110" spans="1:10" ht="26.25" customHeight="1" x14ac:dyDescent="0.4">
      <c r="A110" s="75" t="s">
        <v>94</v>
      </c>
      <c r="B110" s="76">
        <v>1</v>
      </c>
      <c r="C110" s="134">
        <v>3</v>
      </c>
      <c r="D110" s="182">
        <v>2717327</v>
      </c>
      <c r="E110" s="183">
        <f t="shared" si="1"/>
        <v>138.06988207445784</v>
      </c>
      <c r="F110" s="184">
        <f t="shared" si="2"/>
        <v>86.293676296536148</v>
      </c>
    </row>
    <row r="111" spans="1:10" ht="26.25" customHeight="1" x14ac:dyDescent="0.4">
      <c r="A111" s="75" t="s">
        <v>95</v>
      </c>
      <c r="B111" s="76">
        <v>1</v>
      </c>
      <c r="C111" s="134">
        <v>4</v>
      </c>
      <c r="D111" s="182">
        <v>2703010</v>
      </c>
      <c r="E111" s="183">
        <f t="shared" si="1"/>
        <v>137.34242214723523</v>
      </c>
      <c r="F111" s="184">
        <f t="shared" si="2"/>
        <v>85.839013842022013</v>
      </c>
    </row>
    <row r="112" spans="1:10" ht="26.25" customHeight="1" x14ac:dyDescent="0.4">
      <c r="A112" s="75" t="s">
        <v>96</v>
      </c>
      <c r="B112" s="76">
        <v>1</v>
      </c>
      <c r="C112" s="134">
        <v>5</v>
      </c>
      <c r="D112" s="182">
        <v>2700742</v>
      </c>
      <c r="E112" s="183">
        <f t="shared" si="1"/>
        <v>137.22718298295914</v>
      </c>
      <c r="F112" s="184">
        <f t="shared" si="2"/>
        <v>85.766989364349456</v>
      </c>
    </row>
    <row r="113" spans="1:10" ht="27" customHeight="1" thickBot="1" x14ac:dyDescent="0.45">
      <c r="A113" s="75" t="s">
        <v>98</v>
      </c>
      <c r="B113" s="76">
        <v>1</v>
      </c>
      <c r="C113" s="138">
        <v>6</v>
      </c>
      <c r="D113" s="185">
        <v>2688573</v>
      </c>
      <c r="E113" s="186">
        <f t="shared" si="1"/>
        <v>136.60886490973348</v>
      </c>
      <c r="F113" s="187">
        <f t="shared" si="2"/>
        <v>85.380540568583427</v>
      </c>
    </row>
    <row r="114" spans="1:10" ht="27" customHeight="1" thickBot="1" x14ac:dyDescent="0.45">
      <c r="A114" s="75" t="s">
        <v>99</v>
      </c>
      <c r="B114" s="76">
        <v>1</v>
      </c>
      <c r="C114" s="188"/>
      <c r="D114" s="105"/>
      <c r="E114" s="49"/>
      <c r="F114" s="184"/>
    </row>
    <row r="115" spans="1:10" ht="26.25" customHeight="1" x14ac:dyDescent="0.4">
      <c r="A115" s="75" t="s">
        <v>100</v>
      </c>
      <c r="B115" s="76">
        <v>1</v>
      </c>
      <c r="C115" s="188"/>
      <c r="D115" s="189" t="s">
        <v>69</v>
      </c>
      <c r="E115" s="190">
        <f>AVERAGE(E108:E113)</f>
        <v>137.34920540492078</v>
      </c>
      <c r="F115" s="191">
        <f>AVERAGE(F108:F113)</f>
        <v>85.843253378075488</v>
      </c>
    </row>
    <row r="116" spans="1:10" ht="27" customHeight="1" thickBot="1" x14ac:dyDescent="0.45">
      <c r="A116" s="75" t="s">
        <v>101</v>
      </c>
      <c r="B116" s="87">
        <f>(B115/B114)*(B113/B112)*(B111/B110)*(B109/B108)*B107</f>
        <v>4500</v>
      </c>
      <c r="C116" s="192"/>
      <c r="D116" s="193" t="s">
        <v>82</v>
      </c>
      <c r="E116" s="148">
        <f>STDEV(E108:E113)/E115</f>
        <v>3.617217185136357E-3</v>
      </c>
      <c r="F116" s="194">
        <f>STDEV(F108:F113)/F115</f>
        <v>3.6172171851363449E-3</v>
      </c>
      <c r="I116" s="49"/>
    </row>
    <row r="117" spans="1:10" ht="27" customHeight="1" thickBot="1" x14ac:dyDescent="0.45">
      <c r="A117" s="276" t="s">
        <v>76</v>
      </c>
      <c r="B117" s="280"/>
      <c r="C117" s="195"/>
      <c r="D117" s="149" t="s">
        <v>18</v>
      </c>
      <c r="E117" s="196">
        <f>COUNT(E108:E113)</f>
        <v>6</v>
      </c>
      <c r="F117" s="197">
        <f>COUNT(F108:F113)</f>
        <v>6</v>
      </c>
      <c r="I117" s="49"/>
      <c r="J117" s="175"/>
    </row>
    <row r="118" spans="1:10" ht="26.25" customHeight="1" thickBot="1" x14ac:dyDescent="0.35">
      <c r="A118" s="278"/>
      <c r="B118" s="281"/>
      <c r="C118" s="49"/>
      <c r="D118" s="198"/>
      <c r="E118" s="282" t="s">
        <v>121</v>
      </c>
      <c r="F118" s="283"/>
      <c r="G118" s="49"/>
      <c r="H118" s="49"/>
      <c r="I118" s="49"/>
    </row>
    <row r="119" spans="1:10" ht="25.5" customHeight="1" x14ac:dyDescent="0.4">
      <c r="A119" s="199"/>
      <c r="B119" s="71"/>
      <c r="C119" s="49"/>
      <c r="D119" s="193" t="s">
        <v>122</v>
      </c>
      <c r="E119" s="200">
        <f>MIN(E108:E113)</f>
        <v>136.60886490973348</v>
      </c>
      <c r="F119" s="201">
        <f>MIN(F108:F113)</f>
        <v>85.380540568583427</v>
      </c>
      <c r="G119" s="49"/>
      <c r="H119" s="49"/>
      <c r="I119" s="49"/>
    </row>
    <row r="120" spans="1:10" ht="24" customHeight="1" thickBot="1" x14ac:dyDescent="0.45">
      <c r="A120" s="199"/>
      <c r="B120" s="71"/>
      <c r="C120" s="49"/>
      <c r="D120" s="116" t="s">
        <v>123</v>
      </c>
      <c r="E120" s="202">
        <f>MAX(E108:E113)</f>
        <v>138.06988207445784</v>
      </c>
      <c r="F120" s="203">
        <f>MAX(F108:F113)</f>
        <v>86.293676296536148</v>
      </c>
      <c r="G120" s="49"/>
      <c r="H120" s="49"/>
      <c r="I120" s="49"/>
    </row>
    <row r="121" spans="1:10" ht="27" customHeight="1" x14ac:dyDescent="0.3">
      <c r="A121" s="199"/>
      <c r="B121" s="71"/>
      <c r="C121" s="49"/>
      <c r="D121" s="49"/>
      <c r="E121" s="49"/>
      <c r="F121" s="105"/>
      <c r="G121" s="49"/>
      <c r="H121" s="49"/>
      <c r="I121" s="49"/>
    </row>
    <row r="122" spans="1:10" ht="25.5" customHeight="1" x14ac:dyDescent="0.3">
      <c r="A122" s="199"/>
      <c r="B122" s="71"/>
      <c r="C122" s="49"/>
      <c r="D122" s="49"/>
      <c r="E122" s="49"/>
      <c r="F122" s="105"/>
      <c r="G122" s="49"/>
      <c r="H122" s="49"/>
      <c r="I122" s="49"/>
    </row>
    <row r="123" spans="1:10" ht="18.75" x14ac:dyDescent="0.3">
      <c r="A123" s="199"/>
      <c r="B123" s="71"/>
      <c r="C123" s="49"/>
      <c r="D123" s="49"/>
      <c r="E123" s="49"/>
      <c r="F123" s="105"/>
      <c r="G123" s="49"/>
      <c r="H123" s="49"/>
      <c r="I123" s="49"/>
    </row>
    <row r="124" spans="1:10" ht="45.75" customHeight="1" x14ac:dyDescent="0.65">
      <c r="A124" s="59" t="s">
        <v>104</v>
      </c>
      <c r="B124" s="60" t="s">
        <v>124</v>
      </c>
      <c r="C124" s="284" t="str">
        <f>B26</f>
        <v>Trimethoprim</v>
      </c>
      <c r="D124" s="284"/>
      <c r="E124" s="49" t="s">
        <v>125</v>
      </c>
      <c r="F124" s="49"/>
      <c r="G124" s="204">
        <f>F115</f>
        <v>85.843253378075488</v>
      </c>
      <c r="H124" s="49"/>
      <c r="I124" s="49"/>
    </row>
    <row r="125" spans="1:10" ht="45.75" customHeight="1" x14ac:dyDescent="0.65">
      <c r="A125" s="59"/>
      <c r="B125" s="60" t="s">
        <v>126</v>
      </c>
      <c r="C125" s="60" t="s">
        <v>127</v>
      </c>
      <c r="D125" s="204">
        <f>MIN(F108:F113)</f>
        <v>85.380540568583427</v>
      </c>
      <c r="E125" s="60" t="s">
        <v>128</v>
      </c>
      <c r="F125" s="204">
        <f>MAX(F108:F113)</f>
        <v>86.293676296536148</v>
      </c>
      <c r="G125" s="205"/>
      <c r="H125" s="49"/>
      <c r="I125" s="49"/>
    </row>
    <row r="126" spans="1:10" ht="19.5" customHeight="1" thickBot="1" x14ac:dyDescent="0.35">
      <c r="A126" s="206"/>
      <c r="B126" s="206"/>
      <c r="C126" s="207"/>
      <c r="D126" s="207"/>
      <c r="E126" s="207"/>
      <c r="F126" s="207"/>
      <c r="G126" s="207"/>
      <c r="H126" s="207"/>
    </row>
    <row r="127" spans="1:10" ht="18.75" x14ac:dyDescent="0.3">
      <c r="B127" s="285" t="s">
        <v>24</v>
      </c>
      <c r="C127" s="285"/>
      <c r="E127" s="154" t="s">
        <v>25</v>
      </c>
      <c r="F127" s="208"/>
      <c r="G127" s="285" t="s">
        <v>26</v>
      </c>
      <c r="H127" s="285"/>
    </row>
    <row r="128" spans="1:10" ht="69.95" customHeight="1" x14ac:dyDescent="0.3">
      <c r="A128" s="59" t="s">
        <v>27</v>
      </c>
      <c r="B128" s="209"/>
      <c r="C128" s="209"/>
      <c r="E128" s="209"/>
      <c r="F128" s="49"/>
      <c r="G128" s="209"/>
      <c r="H128" s="209"/>
    </row>
    <row r="129" spans="1:9" ht="69.95" customHeight="1" x14ac:dyDescent="0.3">
      <c r="A129" s="59" t="s">
        <v>28</v>
      </c>
      <c r="B129" s="210"/>
      <c r="C129" s="210"/>
      <c r="E129" s="210"/>
      <c r="F129" s="49"/>
      <c r="G129" s="211"/>
      <c r="H129" s="211"/>
    </row>
    <row r="130" spans="1:9" ht="18.75" x14ac:dyDescent="0.3">
      <c r="A130" s="105"/>
      <c r="B130" s="105"/>
      <c r="C130" s="105"/>
      <c r="D130" s="105"/>
      <c r="E130" s="105"/>
      <c r="F130" s="107"/>
      <c r="G130" s="105"/>
      <c r="H130" s="105"/>
      <c r="I130" s="49"/>
    </row>
    <row r="131" spans="1:9" ht="18.75" x14ac:dyDescent="0.3">
      <c r="A131" s="105"/>
      <c r="B131" s="105"/>
      <c r="C131" s="105"/>
      <c r="D131" s="105"/>
      <c r="E131" s="105"/>
      <c r="F131" s="107"/>
      <c r="G131" s="105"/>
      <c r="H131" s="105"/>
      <c r="I131" s="49"/>
    </row>
    <row r="132" spans="1:9" ht="18.75" x14ac:dyDescent="0.3">
      <c r="A132" s="105"/>
      <c r="B132" s="105"/>
      <c r="C132" s="105"/>
      <c r="D132" s="105"/>
      <c r="E132" s="105"/>
      <c r="F132" s="107"/>
      <c r="G132" s="105"/>
      <c r="H132" s="105"/>
      <c r="I132" s="49"/>
    </row>
    <row r="133" spans="1:9" ht="18.75" x14ac:dyDescent="0.3">
      <c r="A133" s="105"/>
      <c r="B133" s="105"/>
      <c r="C133" s="105"/>
      <c r="D133" s="105"/>
      <c r="E133" s="105"/>
      <c r="F133" s="107"/>
      <c r="G133" s="105"/>
      <c r="H133" s="105"/>
      <c r="I133" s="49"/>
    </row>
    <row r="134" spans="1:9" ht="18.75" x14ac:dyDescent="0.3">
      <c r="A134" s="105"/>
      <c r="B134" s="105"/>
      <c r="C134" s="105"/>
      <c r="D134" s="105"/>
      <c r="E134" s="105"/>
      <c r="F134" s="107"/>
      <c r="G134" s="105"/>
      <c r="H134" s="105"/>
      <c r="I134" s="49"/>
    </row>
    <row r="135" spans="1:9" ht="18.75" x14ac:dyDescent="0.3">
      <c r="A135" s="105"/>
      <c r="B135" s="105"/>
      <c r="C135" s="105"/>
      <c r="D135" s="105"/>
      <c r="E135" s="105"/>
      <c r="F135" s="107"/>
      <c r="G135" s="105"/>
      <c r="H135" s="105"/>
      <c r="I135" s="49"/>
    </row>
    <row r="136" spans="1:9" ht="18.75" x14ac:dyDescent="0.3">
      <c r="A136" s="105"/>
      <c r="B136" s="105"/>
      <c r="C136" s="105"/>
      <c r="D136" s="105"/>
      <c r="E136" s="105"/>
      <c r="F136" s="107"/>
      <c r="G136" s="105"/>
      <c r="H136" s="105"/>
      <c r="I136" s="49"/>
    </row>
    <row r="137" spans="1:9" ht="18.75" x14ac:dyDescent="0.3">
      <c r="A137" s="105"/>
      <c r="B137" s="105"/>
      <c r="C137" s="105"/>
      <c r="D137" s="105"/>
      <c r="E137" s="105"/>
      <c r="F137" s="107"/>
      <c r="G137" s="105"/>
      <c r="H137" s="105"/>
      <c r="I137" s="49"/>
    </row>
    <row r="138" spans="1:9" ht="18.75" x14ac:dyDescent="0.3">
      <c r="A138" s="105"/>
      <c r="B138" s="105"/>
      <c r="C138" s="105"/>
      <c r="D138" s="105"/>
      <c r="E138" s="105"/>
      <c r="F138" s="107"/>
      <c r="G138" s="105"/>
      <c r="H138" s="105"/>
      <c r="I138" s="4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fitToHeight="0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3" workbookViewId="0">
      <selection activeCell="A44" sqref="A44"/>
    </sheetView>
  </sheetViews>
  <sheetFormatPr defaultRowHeight="13.5" x14ac:dyDescent="0.25"/>
  <cols>
    <col min="1" max="1" width="25.7109375" style="2" customWidth="1"/>
    <col min="2" max="2" width="20.42578125" style="2" customWidth="1"/>
    <col min="3" max="3" width="31.85546875" style="2" customWidth="1"/>
    <col min="4" max="4" width="25.85546875" style="2" customWidth="1"/>
    <col min="5" max="5" width="25.7109375" style="2" customWidth="1"/>
    <col min="6" max="6" width="23.140625" style="2" customWidth="1"/>
    <col min="7" max="7" width="28.42578125" style="2" customWidth="1"/>
    <col min="8" max="8" width="21.5703125" style="2" customWidth="1"/>
    <col min="9" max="9" width="9.140625" style="2" customWidth="1"/>
    <col min="10" max="16384" width="9.140625" style="42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71" t="s">
        <v>0</v>
      </c>
      <c r="B15" s="271"/>
      <c r="C15" s="271"/>
      <c r="D15" s="271"/>
      <c r="E15" s="271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5</v>
      </c>
      <c r="D17" s="7"/>
      <c r="E17" s="8"/>
    </row>
    <row r="18" spans="1:5" ht="16.5" customHeight="1" x14ac:dyDescent="0.3">
      <c r="A18" s="9" t="s">
        <v>4</v>
      </c>
      <c r="B18" s="2" t="s">
        <v>135</v>
      </c>
      <c r="C18" s="8"/>
      <c r="D18" s="8"/>
      <c r="E18" s="8"/>
    </row>
    <row r="19" spans="1:5" ht="16.5" customHeight="1" x14ac:dyDescent="0.3">
      <c r="A19" s="9" t="s">
        <v>6</v>
      </c>
      <c r="B19" s="10">
        <v>99.3</v>
      </c>
      <c r="C19" s="8"/>
      <c r="D19" s="8"/>
      <c r="E19" s="8"/>
    </row>
    <row r="20" spans="1:5" ht="16.5" customHeight="1" x14ac:dyDescent="0.3">
      <c r="A20" s="6" t="s">
        <v>7</v>
      </c>
      <c r="B20" s="10">
        <v>20.36</v>
      </c>
      <c r="C20" s="8"/>
      <c r="D20" s="8"/>
      <c r="E20" s="8"/>
    </row>
    <row r="21" spans="1:5" ht="16.5" customHeight="1" x14ac:dyDescent="0.3">
      <c r="A21" s="6" t="s">
        <v>9</v>
      </c>
      <c r="B21" s="11">
        <f>B20/25*4/100</f>
        <v>3.2576000000000001E-2</v>
      </c>
      <c r="C21" s="8"/>
      <c r="D21" s="8"/>
      <c r="E21" s="8"/>
    </row>
    <row r="22" spans="1:5" ht="15.75" customHeight="1" x14ac:dyDescent="0.25">
      <c r="A22" s="8"/>
      <c r="B22" s="8" t="s">
        <v>130</v>
      </c>
      <c r="C22" s="8"/>
      <c r="D22" s="8"/>
      <c r="E22" s="8"/>
    </row>
    <row r="23" spans="1:5" ht="16.5" customHeight="1" x14ac:dyDescent="0.3">
      <c r="A23" s="12" t="s">
        <v>11</v>
      </c>
      <c r="B23" s="13" t="s">
        <v>12</v>
      </c>
      <c r="C23" s="12" t="s">
        <v>13</v>
      </c>
      <c r="D23" s="12" t="s">
        <v>14</v>
      </c>
      <c r="E23" s="12" t="s">
        <v>15</v>
      </c>
    </row>
    <row r="24" spans="1:5" ht="16.5" customHeight="1" x14ac:dyDescent="0.3">
      <c r="A24" s="15">
        <v>1</v>
      </c>
      <c r="B24" s="16">
        <v>2835304</v>
      </c>
      <c r="C24" s="261">
        <v>5841.8</v>
      </c>
      <c r="D24" s="17">
        <v>1.3</v>
      </c>
      <c r="E24" s="212">
        <v>5.6</v>
      </c>
    </row>
    <row r="25" spans="1:5" ht="16.5" customHeight="1" x14ac:dyDescent="0.3">
      <c r="A25" s="15">
        <v>2</v>
      </c>
      <c r="B25" s="16">
        <v>2847130</v>
      </c>
      <c r="C25" s="261">
        <v>5976</v>
      </c>
      <c r="D25" s="17">
        <v>1.2</v>
      </c>
      <c r="E25" s="17">
        <v>5.6</v>
      </c>
    </row>
    <row r="26" spans="1:5" ht="16.5" customHeight="1" x14ac:dyDescent="0.3">
      <c r="A26" s="15">
        <v>3</v>
      </c>
      <c r="B26" s="16">
        <v>2847723</v>
      </c>
      <c r="C26" s="261">
        <v>6096.6</v>
      </c>
      <c r="D26" s="17">
        <v>1.2</v>
      </c>
      <c r="E26" s="17">
        <v>5.6</v>
      </c>
    </row>
    <row r="27" spans="1:5" ht="16.5" customHeight="1" x14ac:dyDescent="0.3">
      <c r="A27" s="15">
        <v>4</v>
      </c>
      <c r="B27" s="16">
        <v>2852722</v>
      </c>
      <c r="C27" s="261">
        <v>6171</v>
      </c>
      <c r="D27" s="17">
        <v>1.2</v>
      </c>
      <c r="E27" s="17">
        <v>5.6</v>
      </c>
    </row>
    <row r="28" spans="1:5" ht="16.5" customHeight="1" x14ac:dyDescent="0.3">
      <c r="A28" s="15">
        <v>5</v>
      </c>
      <c r="B28" s="16">
        <v>2845871</v>
      </c>
      <c r="C28" s="261">
        <v>6257.2</v>
      </c>
      <c r="D28" s="17">
        <v>1.2</v>
      </c>
      <c r="E28" s="17">
        <v>5.6</v>
      </c>
    </row>
    <row r="29" spans="1:5" ht="16.5" customHeight="1" x14ac:dyDescent="0.3">
      <c r="A29" s="15">
        <v>6</v>
      </c>
      <c r="B29" s="20">
        <v>2854565</v>
      </c>
      <c r="C29" s="262">
        <v>6351.1</v>
      </c>
      <c r="D29" s="21">
        <v>1.2</v>
      </c>
      <c r="E29" s="21">
        <v>5.6</v>
      </c>
    </row>
    <row r="30" spans="1:5" ht="16.5" customHeight="1" x14ac:dyDescent="0.3">
      <c r="A30" s="23" t="s">
        <v>16</v>
      </c>
      <c r="B30" s="24">
        <f>AVERAGE(B24:B29)</f>
        <v>2847219.1666666665</v>
      </c>
      <c r="C30" s="25">
        <f>AVERAGE(C24:C29)</f>
        <v>6115.6166666666677</v>
      </c>
      <c r="D30" s="26">
        <f>AVERAGE(D24:D29)</f>
        <v>1.2166666666666668</v>
      </c>
      <c r="E30" s="26">
        <f>AVERAGE(E24:E29)</f>
        <v>5.6000000000000005</v>
      </c>
    </row>
    <row r="31" spans="1:5" ht="16.5" customHeight="1" x14ac:dyDescent="0.3">
      <c r="A31" s="28" t="s">
        <v>17</v>
      </c>
      <c r="B31" s="29">
        <f>(STDEV(B24:B29)/B30)</f>
        <v>2.3732330522152592E-3</v>
      </c>
      <c r="C31" s="30"/>
      <c r="D31" s="30"/>
      <c r="E31" s="213"/>
    </row>
    <row r="32" spans="1:5" s="2" customFormat="1" ht="16.5" customHeight="1" x14ac:dyDescent="0.3">
      <c r="A32" s="33" t="s">
        <v>18</v>
      </c>
      <c r="B32" s="34">
        <f>COUNT(B24:B29)</f>
        <v>6</v>
      </c>
      <c r="C32" s="35"/>
      <c r="D32" s="36"/>
      <c r="E32" s="214"/>
    </row>
    <row r="33" spans="1:5" s="2" customFormat="1" ht="15.75" customHeight="1" x14ac:dyDescent="0.25">
      <c r="A33" s="8"/>
      <c r="B33" s="8"/>
      <c r="C33" s="8"/>
      <c r="D33" s="8"/>
      <c r="E33" s="8"/>
    </row>
    <row r="34" spans="1:5" s="2" customFormat="1" ht="16.5" customHeight="1" x14ac:dyDescent="0.3">
      <c r="A34" s="9" t="s">
        <v>19</v>
      </c>
      <c r="B34" s="38" t="s">
        <v>20</v>
      </c>
      <c r="C34" s="39"/>
      <c r="D34" s="39"/>
      <c r="E34" s="39"/>
    </row>
    <row r="35" spans="1:5" ht="16.5" customHeight="1" x14ac:dyDescent="0.3">
      <c r="A35" s="9"/>
      <c r="B35" s="38" t="s">
        <v>21</v>
      </c>
      <c r="C35" s="39"/>
      <c r="D35" s="39"/>
      <c r="E35" s="39"/>
    </row>
    <row r="36" spans="1:5" ht="16.5" customHeight="1" x14ac:dyDescent="0.3">
      <c r="A36" s="9"/>
      <c r="B36" s="38" t="s">
        <v>22</v>
      </c>
      <c r="C36" s="39"/>
      <c r="D36" s="39"/>
      <c r="E36" s="39"/>
    </row>
    <row r="37" spans="1:5" ht="15.75" customHeight="1" x14ac:dyDescent="0.25">
      <c r="A37" s="8"/>
      <c r="B37" s="8"/>
      <c r="C37" s="8"/>
      <c r="D37" s="8"/>
      <c r="E37" s="8"/>
    </row>
    <row r="38" spans="1:5" ht="16.5" customHeight="1" x14ac:dyDescent="0.3">
      <c r="A38" s="4" t="s">
        <v>1</v>
      </c>
      <c r="B38" s="5" t="s">
        <v>23</v>
      </c>
    </row>
    <row r="39" spans="1:5" ht="16.5" customHeight="1" x14ac:dyDescent="0.3">
      <c r="A39" s="9" t="s">
        <v>4</v>
      </c>
      <c r="B39" s="6" t="s">
        <v>135</v>
      </c>
      <c r="C39" s="8"/>
      <c r="D39" s="8"/>
      <c r="E39" s="8"/>
    </row>
    <row r="40" spans="1:5" ht="16.5" customHeight="1" x14ac:dyDescent="0.3">
      <c r="A40" s="9" t="s">
        <v>6</v>
      </c>
      <c r="B40" s="10">
        <v>99.3</v>
      </c>
      <c r="C40" s="8"/>
      <c r="D40" s="8"/>
      <c r="E40" s="8"/>
    </row>
    <row r="41" spans="1:5" ht="16.5" customHeight="1" x14ac:dyDescent="0.3">
      <c r="A41" s="6" t="s">
        <v>7</v>
      </c>
      <c r="B41" s="10">
        <v>20.36</v>
      </c>
      <c r="C41" s="8"/>
      <c r="D41" s="8"/>
      <c r="E41" s="8"/>
    </row>
    <row r="42" spans="1:5" ht="16.5" customHeight="1" x14ac:dyDescent="0.3">
      <c r="A42" s="6" t="s">
        <v>9</v>
      </c>
      <c r="B42" s="11">
        <v>3.2576000000000001E-2</v>
      </c>
      <c r="C42" s="8"/>
      <c r="D42" s="8"/>
      <c r="E42" s="8"/>
    </row>
    <row r="43" spans="1:5" ht="15.75" customHeight="1" x14ac:dyDescent="0.25">
      <c r="A43" s="8"/>
      <c r="B43" s="8" t="s">
        <v>130</v>
      </c>
      <c r="C43" s="8"/>
      <c r="D43" s="8"/>
      <c r="E43" s="8"/>
    </row>
    <row r="44" spans="1:5" ht="16.5" customHeight="1" x14ac:dyDescent="0.3">
      <c r="A44" s="12" t="s">
        <v>11</v>
      </c>
      <c r="B44" s="13" t="s">
        <v>12</v>
      </c>
      <c r="C44" s="12" t="s">
        <v>13</v>
      </c>
      <c r="D44" s="12" t="s">
        <v>14</v>
      </c>
      <c r="E44" s="12" t="s">
        <v>15</v>
      </c>
    </row>
    <row r="45" spans="1:5" ht="16.5" customHeight="1" x14ac:dyDescent="0.3">
      <c r="A45" s="15">
        <v>1</v>
      </c>
      <c r="B45" s="16">
        <v>2835304</v>
      </c>
      <c r="C45" s="261">
        <v>5841.8</v>
      </c>
      <c r="D45" s="17">
        <v>1.3</v>
      </c>
      <c r="E45" s="212">
        <v>5.6</v>
      </c>
    </row>
    <row r="46" spans="1:5" ht="16.5" customHeight="1" x14ac:dyDescent="0.3">
      <c r="A46" s="15">
        <v>2</v>
      </c>
      <c r="B46" s="16">
        <v>2847130</v>
      </c>
      <c r="C46" s="261">
        <v>5976</v>
      </c>
      <c r="D46" s="17">
        <v>1.2</v>
      </c>
      <c r="E46" s="17">
        <v>5.6</v>
      </c>
    </row>
    <row r="47" spans="1:5" ht="16.5" customHeight="1" x14ac:dyDescent="0.3">
      <c r="A47" s="15">
        <v>3</v>
      </c>
      <c r="B47" s="16">
        <v>2847723</v>
      </c>
      <c r="C47" s="261">
        <v>6096.6</v>
      </c>
      <c r="D47" s="17">
        <v>1.2</v>
      </c>
      <c r="E47" s="17">
        <v>5.6</v>
      </c>
    </row>
    <row r="48" spans="1:5" ht="16.5" customHeight="1" x14ac:dyDescent="0.3">
      <c r="A48" s="15">
        <v>4</v>
      </c>
      <c r="B48" s="16">
        <v>2852722</v>
      </c>
      <c r="C48" s="261">
        <v>6171</v>
      </c>
      <c r="D48" s="17">
        <v>1.2</v>
      </c>
      <c r="E48" s="17">
        <v>5.6</v>
      </c>
    </row>
    <row r="49" spans="1:7" ht="16.5" customHeight="1" x14ac:dyDescent="0.3">
      <c r="A49" s="15">
        <v>5</v>
      </c>
      <c r="B49" s="16">
        <v>2845871</v>
      </c>
      <c r="C49" s="261">
        <v>6257.2</v>
      </c>
      <c r="D49" s="17">
        <v>1.2</v>
      </c>
      <c r="E49" s="17">
        <v>5.6</v>
      </c>
    </row>
    <row r="50" spans="1:7" ht="16.5" customHeight="1" x14ac:dyDescent="0.3">
      <c r="A50" s="15">
        <v>6</v>
      </c>
      <c r="B50" s="20">
        <v>2854565</v>
      </c>
      <c r="C50" s="262">
        <v>6351.1</v>
      </c>
      <c r="D50" s="21">
        <v>1.2</v>
      </c>
      <c r="E50" s="21">
        <v>5.6</v>
      </c>
    </row>
    <row r="51" spans="1:7" ht="16.5" customHeight="1" x14ac:dyDescent="0.3">
      <c r="A51" s="23" t="s">
        <v>16</v>
      </c>
      <c r="B51" s="24">
        <f>AVERAGE(B45:B50)</f>
        <v>2847219.1666666665</v>
      </c>
      <c r="C51" s="25">
        <f>AVERAGE(C45:C50)</f>
        <v>6115.6166666666677</v>
      </c>
      <c r="D51" s="26">
        <f>AVERAGE(D45:D50)</f>
        <v>1.2166666666666668</v>
      </c>
      <c r="E51" s="26">
        <f>AVERAGE(E45:E50)</f>
        <v>5.6000000000000005</v>
      </c>
    </row>
    <row r="52" spans="1:7" ht="16.5" customHeight="1" x14ac:dyDescent="0.3">
      <c r="A52" s="28" t="s">
        <v>17</v>
      </c>
      <c r="B52" s="29">
        <f>(STDEV(B45:B50)/B51)</f>
        <v>2.3732330522152592E-3</v>
      </c>
      <c r="C52" s="30"/>
      <c r="D52" s="30"/>
      <c r="E52" s="213"/>
    </row>
    <row r="53" spans="1:7" s="2" customFormat="1" ht="16.5" customHeight="1" x14ac:dyDescent="0.3">
      <c r="A53" s="33" t="s">
        <v>18</v>
      </c>
      <c r="B53" s="34">
        <f>COUNT(B45:B50)</f>
        <v>6</v>
      </c>
      <c r="C53" s="35"/>
      <c r="D53" s="36"/>
      <c r="E53" s="214"/>
    </row>
    <row r="54" spans="1:7" s="2" customFormat="1" ht="15.75" customHeight="1" x14ac:dyDescent="0.25">
      <c r="A54" s="8"/>
      <c r="B54" s="8"/>
      <c r="C54" s="8"/>
      <c r="D54" s="8"/>
      <c r="E54" s="8"/>
    </row>
    <row r="55" spans="1:7" s="2" customFormat="1" ht="16.5" customHeight="1" x14ac:dyDescent="0.3">
      <c r="A55" s="9" t="s">
        <v>19</v>
      </c>
      <c r="B55" s="38" t="s">
        <v>20</v>
      </c>
      <c r="C55" s="39"/>
      <c r="D55" s="39"/>
      <c r="E55" s="39"/>
    </row>
    <row r="56" spans="1:7" ht="16.5" customHeight="1" x14ac:dyDescent="0.3">
      <c r="A56" s="9"/>
      <c r="B56" s="38" t="s">
        <v>21</v>
      </c>
      <c r="C56" s="39"/>
      <c r="D56" s="39"/>
      <c r="E56" s="39"/>
    </row>
    <row r="57" spans="1:7" ht="16.5" customHeight="1" x14ac:dyDescent="0.3">
      <c r="A57" s="9"/>
      <c r="B57" s="38" t="s">
        <v>22</v>
      </c>
      <c r="C57" s="39"/>
      <c r="D57" s="39"/>
      <c r="E57" s="39"/>
    </row>
    <row r="58" spans="1:7" ht="14.25" customHeight="1" thickBot="1" x14ac:dyDescent="0.35">
      <c r="A58" s="41"/>
      <c r="B58" s="215"/>
      <c r="D58" s="216"/>
      <c r="F58" s="42"/>
      <c r="G58" s="42"/>
    </row>
    <row r="59" spans="1:7" ht="15" customHeight="1" x14ac:dyDescent="0.3">
      <c r="B59" s="274" t="s">
        <v>24</v>
      </c>
      <c r="C59" s="274"/>
      <c r="E59" s="43" t="s">
        <v>25</v>
      </c>
      <c r="F59" s="44"/>
      <c r="G59" s="43" t="s">
        <v>26</v>
      </c>
    </row>
    <row r="60" spans="1:7" ht="15" customHeight="1" x14ac:dyDescent="0.3">
      <c r="A60" s="45" t="s">
        <v>27</v>
      </c>
      <c r="B60" s="46"/>
      <c r="C60" s="46"/>
      <c r="E60" s="46"/>
      <c r="G60" s="46"/>
    </row>
    <row r="61" spans="1:7" ht="15" customHeight="1" x14ac:dyDescent="0.3">
      <c r="A61" s="45" t="s">
        <v>28</v>
      </c>
      <c r="B61" s="47"/>
      <c r="C61" s="47"/>
      <c r="E61" s="47"/>
      <c r="G61" s="4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1" fitToHeight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Uniformity (2)</vt:lpstr>
      <vt:lpstr>sulfamethoxazole sst</vt:lpstr>
      <vt:lpstr>Sulfamethoxazole</vt:lpstr>
      <vt:lpstr>Trimethoprim</vt:lpstr>
      <vt:lpstr>Trimethoprim sst</vt:lpstr>
      <vt:lpstr>'Uniformity (2)'!Print_Area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2017-08-22T14:25:25Z</cp:lastPrinted>
  <dcterms:created xsi:type="dcterms:W3CDTF">2005-07-05T10:19:27Z</dcterms:created>
  <dcterms:modified xsi:type="dcterms:W3CDTF">2017-08-22T14:26:33Z</dcterms:modified>
</cp:coreProperties>
</file>