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70" yWindow="615" windowWidth="20775" windowHeight="9405" activeTab="2"/>
  </bookViews>
  <sheets>
    <sheet name="SST SULFAMETHOXAZOLE" sheetId="5" r:id="rId1"/>
    <sheet name="Sulfamethoxazole" sheetId="6" r:id="rId2"/>
    <sheet name="Trimethoprim" sheetId="7" r:id="rId3"/>
    <sheet name="SST TRIMETHOPRIM" sheetId="8" r:id="rId4"/>
    <sheet name="Uniformity" sheetId="2" r:id="rId5"/>
  </sheets>
  <definedNames>
    <definedName name="_xlnm.Print_Area" localSheetId="1">Sulfamethoxazole!$A$1:$I$131</definedName>
    <definedName name="_xlnm.Print_Area" localSheetId="2">Trimethoprim!$A$1:$H$129</definedName>
    <definedName name="_xlnm.Print_Area" localSheetId="4">Uniformity!$A$1:$F$54</definedName>
  </definedNames>
  <calcPr calcId="124519"/>
</workbook>
</file>

<file path=xl/calcChain.xml><?xml version="1.0" encoding="utf-8"?>
<calcChain xmlns="http://schemas.openxmlformats.org/spreadsheetml/2006/main">
  <c r="B57" i="7"/>
  <c r="B57" i="6"/>
  <c r="B53" i="8"/>
  <c r="E51"/>
  <c r="D51"/>
  <c r="C51"/>
  <c r="B51"/>
  <c r="B52" s="1"/>
  <c r="B32"/>
  <c r="E30"/>
  <c r="D30"/>
  <c r="C30"/>
  <c r="B30"/>
  <c r="B31" s="1"/>
  <c r="B21"/>
  <c r="C124" i="7"/>
  <c r="B116"/>
  <c r="D101"/>
  <c r="D102" s="1"/>
  <c r="D100"/>
  <c r="B98"/>
  <c r="F95"/>
  <c r="D95"/>
  <c r="I92" s="1"/>
  <c r="G94"/>
  <c r="E94"/>
  <c r="B87"/>
  <c r="D97" s="1"/>
  <c r="B81"/>
  <c r="B83" s="1"/>
  <c r="B80"/>
  <c r="B79"/>
  <c r="C76"/>
  <c r="H71"/>
  <c r="G71"/>
  <c r="D68"/>
  <c r="B68"/>
  <c r="B69" s="1"/>
  <c r="H67"/>
  <c r="G67"/>
  <c r="D64"/>
  <c r="H63"/>
  <c r="G63"/>
  <c r="D60"/>
  <c r="C56"/>
  <c r="B55"/>
  <c r="B45"/>
  <c r="D48" s="1"/>
  <c r="F42"/>
  <c r="D42"/>
  <c r="G41"/>
  <c r="E41"/>
  <c r="B34"/>
  <c r="F44" s="1"/>
  <c r="B30"/>
  <c r="C124" i="6"/>
  <c r="B116"/>
  <c r="D100"/>
  <c r="D101" s="1"/>
  <c r="B98"/>
  <c r="F97"/>
  <c r="F98" s="1"/>
  <c r="F99" s="1"/>
  <c r="D97"/>
  <c r="D98" s="1"/>
  <c r="D99" s="1"/>
  <c r="F95"/>
  <c r="D95"/>
  <c r="G94"/>
  <c r="E94"/>
  <c r="I92"/>
  <c r="B87"/>
  <c r="B83"/>
  <c r="B81"/>
  <c r="B80"/>
  <c r="B79"/>
  <c r="C76"/>
  <c r="H71"/>
  <c r="G71"/>
  <c r="B68"/>
  <c r="H67"/>
  <c r="G67"/>
  <c r="H63"/>
  <c r="G63"/>
  <c r="B69"/>
  <c r="C56"/>
  <c r="B55"/>
  <c r="B45"/>
  <c r="D48" s="1"/>
  <c r="F42"/>
  <c r="D42"/>
  <c r="G41"/>
  <c r="E41"/>
  <c r="B34"/>
  <c r="D44" s="1"/>
  <c r="D45" s="1"/>
  <c r="D46" s="1"/>
  <c r="B30"/>
  <c r="B53" i="5"/>
  <c r="E51"/>
  <c r="D51"/>
  <c r="C51"/>
  <c r="B51"/>
  <c r="B52" s="1"/>
  <c r="B32"/>
  <c r="E30"/>
  <c r="D30"/>
  <c r="C30"/>
  <c r="B30"/>
  <c r="B31" s="1"/>
  <c r="B21"/>
  <c r="D49" i="2"/>
  <c r="C49"/>
  <c r="C46"/>
  <c r="C45"/>
  <c r="D43"/>
  <c r="D41"/>
  <c r="D40"/>
  <c r="D39"/>
  <c r="D37"/>
  <c r="D36"/>
  <c r="D35"/>
  <c r="D33"/>
  <c r="D32"/>
  <c r="D31"/>
  <c r="D29"/>
  <c r="D28"/>
  <c r="D27"/>
  <c r="D25"/>
  <c r="D24"/>
  <c r="C19"/>
  <c r="F45" i="7" l="1"/>
  <c r="F46" s="1"/>
  <c r="I39"/>
  <c r="I39" i="6"/>
  <c r="G39" i="7"/>
  <c r="G40"/>
  <c r="D49"/>
  <c r="G38"/>
  <c r="G42" s="1"/>
  <c r="D49" i="6"/>
  <c r="E40"/>
  <c r="E38"/>
  <c r="E39"/>
  <c r="D98" i="7"/>
  <c r="D102" i="6"/>
  <c r="G93"/>
  <c r="E92"/>
  <c r="E93"/>
  <c r="G91"/>
  <c r="E91"/>
  <c r="G92"/>
  <c r="F44"/>
  <c r="F45" s="1"/>
  <c r="F46" s="1"/>
  <c r="F97" i="7"/>
  <c r="F98" s="1"/>
  <c r="D44"/>
  <c r="D45" s="1"/>
  <c r="D46" s="1"/>
  <c r="C50" i="2"/>
  <c r="D26"/>
  <c r="D30"/>
  <c r="D34"/>
  <c r="D38"/>
  <c r="D42"/>
  <c r="B49"/>
  <c r="D50"/>
  <c r="E93" i="7" l="1"/>
  <c r="E91"/>
  <c r="D99"/>
  <c r="E42" i="6"/>
  <c r="E38" i="7"/>
  <c r="E39"/>
  <c r="G91"/>
  <c r="F99"/>
  <c r="G92"/>
  <c r="G38" i="6"/>
  <c r="G93" i="7"/>
  <c r="E95" i="6"/>
  <c r="D105"/>
  <c r="D103"/>
  <c r="G40"/>
  <c r="E40" i="7"/>
  <c r="E92"/>
  <c r="G95" i="6"/>
  <c r="G39"/>
  <c r="D50" l="1"/>
  <c r="G68"/>
  <c r="H68" s="1"/>
  <c r="G69"/>
  <c r="H69" s="1"/>
  <c r="G66"/>
  <c r="H66" s="1"/>
  <c r="G64"/>
  <c r="H64" s="1"/>
  <c r="G62"/>
  <c r="H62" s="1"/>
  <c r="G60"/>
  <c r="D51"/>
  <c r="G70"/>
  <c r="H70" s="1"/>
  <c r="G65"/>
  <c r="H65" s="1"/>
  <c r="G61"/>
  <c r="H61" s="1"/>
  <c r="D50" i="7"/>
  <c r="E42"/>
  <c r="D52"/>
  <c r="D105"/>
  <c r="D103"/>
  <c r="E95"/>
  <c r="G95"/>
  <c r="E112" i="6"/>
  <c r="F112" s="1"/>
  <c r="E110"/>
  <c r="F110" s="1"/>
  <c r="E108"/>
  <c r="E113"/>
  <c r="F113" s="1"/>
  <c r="E111"/>
  <c r="F111" s="1"/>
  <c r="E109"/>
  <c r="F109" s="1"/>
  <c r="D104"/>
  <c r="G42"/>
  <c r="D52"/>
  <c r="E115" l="1"/>
  <c r="E116" s="1"/>
  <c r="E119"/>
  <c r="E120"/>
  <c r="E117"/>
  <c r="F108"/>
  <c r="H60"/>
  <c r="G74"/>
  <c r="G72"/>
  <c r="G73" s="1"/>
  <c r="E113" i="7"/>
  <c r="F113" s="1"/>
  <c r="E111"/>
  <c r="F111" s="1"/>
  <c r="E109"/>
  <c r="F109" s="1"/>
  <c r="D104"/>
  <c r="E112"/>
  <c r="F112" s="1"/>
  <c r="E110"/>
  <c r="F110" s="1"/>
  <c r="E108"/>
  <c r="G69"/>
  <c r="H69" s="1"/>
  <c r="G61"/>
  <c r="H61" s="1"/>
  <c r="D51"/>
  <c r="G66"/>
  <c r="H66" s="1"/>
  <c r="G64"/>
  <c r="H64" s="1"/>
  <c r="G70"/>
  <c r="H70" s="1"/>
  <c r="G62"/>
  <c r="H62" s="1"/>
  <c r="G60"/>
  <c r="G68"/>
  <c r="H68" s="1"/>
  <c r="G65"/>
  <c r="H65" s="1"/>
  <c r="H60" l="1"/>
  <c r="G74"/>
  <c r="G72"/>
  <c r="G73" s="1"/>
  <c r="E119"/>
  <c r="E120"/>
  <c r="E117"/>
  <c r="F108"/>
  <c r="E115"/>
  <c r="E116" s="1"/>
  <c r="F119" i="6"/>
  <c r="F125"/>
  <c r="F120"/>
  <c r="F117"/>
  <c r="D125"/>
  <c r="F115"/>
  <c r="H74"/>
  <c r="H72"/>
  <c r="G76" l="1"/>
  <c r="H73"/>
  <c r="F125" i="7"/>
  <c r="F120"/>
  <c r="F117"/>
  <c r="D125"/>
  <c r="F115"/>
  <c r="F119"/>
  <c r="G124" i="6"/>
  <c r="F116"/>
  <c r="H74" i="7"/>
  <c r="H72"/>
  <c r="G76" l="1"/>
  <c r="H73"/>
  <c r="G124"/>
  <c r="F116"/>
</calcChain>
</file>

<file path=xl/sharedStrings.xml><?xml version="1.0" encoding="utf-8"?>
<sst xmlns="http://schemas.openxmlformats.org/spreadsheetml/2006/main" count="454" uniqueCount="139">
  <si>
    <t>HPLC System Suitability Report</t>
  </si>
  <si>
    <t>Analysis Data</t>
  </si>
  <si>
    <t>Assay</t>
  </si>
  <si>
    <t>Sample(s)</t>
  </si>
  <si>
    <t>Reference Substance:</t>
  </si>
  <si>
    <t>CO-TRIMOXAZOLE TABLETS BP 960 MG</t>
  </si>
  <si>
    <t>% age Purity:</t>
  </si>
  <si>
    <t>NDQB201708119</t>
  </si>
  <si>
    <t>Weight (mg):</t>
  </si>
  <si>
    <t>Sulfamethoxazole &amp; Trimethoprim</t>
  </si>
  <si>
    <t>Standard Conc (mg/mL):</t>
  </si>
  <si>
    <t>Each tablet contains: Sulphamethoxazole B.P. 800 mg and Trimethoprim B.P. 160 mg.</t>
  </si>
  <si>
    <t>2017-08-24 13:52:35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</si>
  <si>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</si>
  <si>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</si>
  <si>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</si>
  <si>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</si>
  <si>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</si>
  <si>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</si>
  <si>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</si>
  <si>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</si>
  <si>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</si>
  <si>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</si>
  <si>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</si>
  <si>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</si>
  <si>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</si>
  <si>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</si>
  <si>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</si>
  <si>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</si>
  <si>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</si>
  <si>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</si>
  <si>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</si>
  <si>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</si>
  <si>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</si>
  <si>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</si>
  <si>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</si>
  <si>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</si>
  <si>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</si>
  <si>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</si>
  <si>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</si>
  <si>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</si>
  <si>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</si>
  <si>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</si>
  <si>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</si>
  <si>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</si>
  <si>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</si>
  <si>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</si>
  <si>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</si>
  <si>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</si>
  <si>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</si>
  <si>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</si>
  <si>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</si>
  <si>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</si>
  <si>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</si>
  <si>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</si>
  <si>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</si>
  <si>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</si>
  <si>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</si>
  <si>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</si>
  <si>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</si>
  <si>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</si>
  <si>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</si>
  <si>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</si>
  <si>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</si>
  <si>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</si>
  <si>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</si>
  <si>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</si>
  <si>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</si>
  <si>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</si>
  <si>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</si>
  <si>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</si>
  <si>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</si>
  <si>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</si>
  <si>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</si>
  <si>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</si>
  <si>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</si>
  <si>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</si>
  <si>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</si>
  <si>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</si>
  <si>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</si>
  <si>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</si>
  <si>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</si>
  <si>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</si>
  <si>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</si>
  <si>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</si>
  <si>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</si>
  <si>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</si>
  <si>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</si>
  <si>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</si>
  <si>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</si>
  <si>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</si>
  <si>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</si>
  <si>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</si>
  <si>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</si>
  <si>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</si>
  <si>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</si>
  <si>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</si>
  <si>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</si>
  <si>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</si>
  <si>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</si>
  <si>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</si>
  <si>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</si>
  <si>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</si>
  <si>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</si>
  <si>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</si>
  <si>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</si>
  <si>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</si>
  <si>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</si>
  <si>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</si>
  <si>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</si>
  <si>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</si>
  <si>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</si>
  <si>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</si>
  <si>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</si>
  <si>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</si>
  <si>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</si>
  <si>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</si>
  <si>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</si>
  <si>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</si>
  <si>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</si>
  <si>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</si>
  <si>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</si>
  <si>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</si>
  <si>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</si>
  <si>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</si>
  <si>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</si>
  <si>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</si>
  <si>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</si>
  <si>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</si>
  <si>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</si>
  <si>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</si>
  <si>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SULFAMETHOXAZOLE</t>
  </si>
  <si>
    <t>2017-08-24 13:43:05</t>
  </si>
  <si>
    <t>S12-6</t>
  </si>
  <si>
    <t>TRIMETHOPRIM</t>
  </si>
  <si>
    <t>T7-4</t>
  </si>
  <si>
    <t xml:space="preserve"> </t>
  </si>
  <si>
    <t>Sulfamethoxazole</t>
  </si>
  <si>
    <t>Trimethoprim</t>
  </si>
</sst>
</file>

<file path=xl/styles.xml><?xml version="1.0" encoding="utf-8"?>
<styleSheet xmlns="http://schemas.openxmlformats.org/spreadsheetml/2006/main">
  <numFmts count="13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  <numFmt numFmtId="176" formatCode="0.0"/>
  </numFmts>
  <fonts count="26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5" fillId="2" borderId="0"/>
    <xf numFmtId="0" fontId="25" fillId="2" borderId="0"/>
    <xf numFmtId="0" fontId="25" fillId="2" borderId="0"/>
  </cellStyleXfs>
  <cellXfs count="559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1" fillId="2" borderId="0" xfId="1" applyFont="1" applyFill="1"/>
    <xf numFmtId="0" fontId="12" fillId="2" borderId="0" xfId="1" applyFont="1" applyFill="1"/>
    <xf numFmtId="0" fontId="13" fillId="2" borderId="0" xfId="1" applyFont="1" applyFill="1" applyAlignment="1" applyProtection="1">
      <alignment horizontal="right"/>
      <protection locked="0"/>
    </xf>
    <xf numFmtId="0" fontId="13" fillId="2" borderId="0" xfId="1" applyFont="1" applyFill="1" applyAlignment="1" applyProtection="1">
      <alignment horizontal="left"/>
      <protection locked="0"/>
    </xf>
    <xf numFmtId="0" fontId="14" fillId="2" borderId="0" xfId="1" applyFont="1" applyFill="1"/>
    <xf numFmtId="0" fontId="14" fillId="3" borderId="0" xfId="1" applyFont="1" applyFill="1" applyAlignment="1" applyProtection="1">
      <alignment horizontal="left"/>
      <protection locked="0"/>
    </xf>
    <xf numFmtId="0" fontId="11" fillId="3" borderId="0" xfId="1" applyFont="1" applyFill="1" applyProtection="1">
      <protection locked="0"/>
    </xf>
    <xf numFmtId="168" fontId="14" fillId="3" borderId="0" xfId="1" applyNumberFormat="1" applyFont="1" applyFill="1" applyAlignment="1" applyProtection="1">
      <alignment horizontal="center"/>
      <protection locked="0"/>
    </xf>
    <xf numFmtId="169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13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15" fillId="2" borderId="0" xfId="1" applyFont="1" applyFill="1" applyAlignment="1">
      <alignment vertical="center" wrapText="1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0" fontId="17" fillId="2" borderId="0" xfId="1" applyFont="1" applyFill="1"/>
    <xf numFmtId="2" fontId="13" fillId="3" borderId="0" xfId="1" applyNumberFormat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vertical="center" wrapText="1"/>
    </xf>
    <xf numFmtId="0" fontId="18" fillId="2" borderId="0" xfId="1" applyFont="1" applyFill="1"/>
    <xf numFmtId="2" fontId="12" fillId="2" borderId="0" xfId="1" applyNumberFormat="1" applyFont="1" applyFill="1" applyAlignment="1">
      <alignment horizontal="center"/>
    </xf>
    <xf numFmtId="0" fontId="19" fillId="2" borderId="0" xfId="1" applyFont="1" applyFill="1" applyAlignment="1">
      <alignment horizontal="left" vertical="center" wrapText="1"/>
    </xf>
    <xf numFmtId="170" fontId="12" fillId="2" borderId="0" xfId="1" applyNumberFormat="1" applyFont="1" applyFill="1" applyAlignment="1">
      <alignment horizontal="center"/>
    </xf>
    <xf numFmtId="0" fontId="11" fillId="2" borderId="21" xfId="1" applyFont="1" applyFill="1" applyBorder="1" applyAlignment="1">
      <alignment horizontal="right"/>
    </xf>
    <xf numFmtId="0" fontId="13" fillId="3" borderId="22" xfId="1" applyFont="1" applyFill="1" applyBorder="1" applyAlignment="1" applyProtection="1">
      <alignment horizontal="center"/>
      <protection locked="0"/>
    </xf>
    <xf numFmtId="0" fontId="11" fillId="2" borderId="23" xfId="1" applyFont="1" applyFill="1" applyBorder="1" applyAlignment="1">
      <alignment horizontal="right"/>
    </xf>
    <xf numFmtId="0" fontId="13" fillId="3" borderId="24" xfId="1" applyFont="1" applyFill="1" applyBorder="1" applyAlignment="1" applyProtection="1">
      <alignment horizontal="center"/>
      <protection locked="0"/>
    </xf>
    <xf numFmtId="0" fontId="12" fillId="2" borderId="22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27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1" fillId="2" borderId="28" xfId="1" applyFont="1" applyFill="1" applyBorder="1" applyAlignment="1">
      <alignment horizontal="center"/>
    </xf>
    <xf numFmtId="0" fontId="13" fillId="3" borderId="29" xfId="1" applyFont="1" applyFill="1" applyBorder="1" applyAlignment="1" applyProtection="1">
      <alignment horizontal="center"/>
      <protection locked="0"/>
    </xf>
    <xf numFmtId="171" fontId="11" fillId="2" borderId="26" xfId="1" applyNumberFormat="1" applyFont="1" applyFill="1" applyBorder="1" applyAlignment="1">
      <alignment horizontal="center"/>
    </xf>
    <xf numFmtId="171" fontId="11" fillId="2" borderId="30" xfId="1" applyNumberFormat="1" applyFont="1" applyFill="1" applyBorder="1" applyAlignment="1">
      <alignment horizontal="center"/>
    </xf>
    <xf numFmtId="0" fontId="18" fillId="2" borderId="13" xfId="1" applyFont="1" applyFill="1" applyBorder="1"/>
    <xf numFmtId="0" fontId="11" fillId="2" borderId="24" xfId="1" applyFont="1" applyFill="1" applyBorder="1" applyAlignment="1">
      <alignment horizontal="center"/>
    </xf>
    <xf numFmtId="0" fontId="13" fillId="3" borderId="23" xfId="1" applyFont="1" applyFill="1" applyBorder="1" applyAlignment="1" applyProtection="1">
      <alignment horizontal="center"/>
      <protection locked="0"/>
    </xf>
    <xf numFmtId="171" fontId="11" fillId="2" borderId="31" xfId="1" applyNumberFormat="1" applyFont="1" applyFill="1" applyBorder="1" applyAlignment="1">
      <alignment horizontal="center"/>
    </xf>
    <xf numFmtId="171" fontId="11" fillId="2" borderId="32" xfId="1" applyNumberFormat="1" applyFont="1" applyFill="1" applyBorder="1" applyAlignment="1">
      <alignment horizontal="center"/>
    </xf>
    <xf numFmtId="0" fontId="11" fillId="2" borderId="33" xfId="1" applyFont="1" applyFill="1" applyBorder="1" applyAlignment="1">
      <alignment horizontal="center"/>
    </xf>
    <xf numFmtId="0" fontId="13" fillId="3" borderId="34" xfId="1" applyFont="1" applyFill="1" applyBorder="1" applyAlignment="1" applyProtection="1">
      <alignment horizontal="center"/>
      <protection locked="0"/>
    </xf>
    <xf numFmtId="171" fontId="11" fillId="2" borderId="35" xfId="1" applyNumberFormat="1" applyFont="1" applyFill="1" applyBorder="1" applyAlignment="1">
      <alignment horizontal="center"/>
    </xf>
    <xf numFmtId="171" fontId="11" fillId="2" borderId="36" xfId="1" applyNumberFormat="1" applyFont="1" applyFill="1" applyBorder="1" applyAlignment="1">
      <alignment horizontal="center"/>
    </xf>
    <xf numFmtId="0" fontId="11" fillId="2" borderId="15" xfId="1" applyFont="1" applyFill="1" applyBorder="1"/>
    <xf numFmtId="0" fontId="11" fillId="2" borderId="24" xfId="1" applyFont="1" applyFill="1" applyBorder="1" applyAlignment="1">
      <alignment horizontal="right"/>
    </xf>
    <xf numFmtId="1" fontId="12" fillId="6" borderId="37" xfId="1" applyNumberFormat="1" applyFont="1" applyFill="1" applyBorder="1" applyAlignment="1">
      <alignment horizontal="center"/>
    </xf>
    <xf numFmtId="171" fontId="12" fillId="6" borderId="38" xfId="1" applyNumberFormat="1" applyFont="1" applyFill="1" applyBorder="1" applyAlignment="1">
      <alignment horizontal="center"/>
    </xf>
    <xf numFmtId="171" fontId="12" fillId="6" borderId="39" xfId="1" applyNumberFormat="1" applyFont="1" applyFill="1" applyBorder="1" applyAlignment="1">
      <alignment horizontal="center"/>
    </xf>
    <xf numFmtId="0" fontId="11" fillId="2" borderId="40" xfId="1" applyFont="1" applyFill="1" applyBorder="1" applyAlignment="1">
      <alignment horizontal="right"/>
    </xf>
    <xf numFmtId="0" fontId="13" fillId="3" borderId="16" xfId="1" applyFont="1" applyFill="1" applyBorder="1" applyAlignment="1" applyProtection="1">
      <alignment horizont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41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166" fontId="11" fillId="6" borderId="41" xfId="1" applyNumberFormat="1" applyFont="1" applyFill="1" applyBorder="1" applyAlignment="1">
      <alignment horizontal="center"/>
    </xf>
    <xf numFmtId="166" fontId="11" fillId="2" borderId="0" xfId="1" applyNumberFormat="1" applyFont="1" applyFill="1" applyAlignment="1">
      <alignment horizontal="center"/>
    </xf>
    <xf numFmtId="166" fontId="11" fillId="6" borderId="17" xfId="1" applyNumberFormat="1" applyFont="1" applyFill="1" applyBorder="1" applyAlignment="1">
      <alignment horizontal="center"/>
    </xf>
    <xf numFmtId="0" fontId="11" fillId="2" borderId="42" xfId="1" applyFont="1" applyFill="1" applyBorder="1" applyAlignment="1">
      <alignment horizontal="right"/>
    </xf>
    <xf numFmtId="166" fontId="13" fillId="3" borderId="41" xfId="1" applyNumberFormat="1" applyFont="1" applyFill="1" applyBorder="1" applyAlignment="1" applyProtection="1">
      <alignment horizontal="center"/>
      <protection locked="0"/>
    </xf>
    <xf numFmtId="166" fontId="11" fillId="2" borderId="0" xfId="1" applyNumberFormat="1" applyFont="1" applyFill="1"/>
    <xf numFmtId="0" fontId="11" fillId="2" borderId="29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0" fontId="11" fillId="2" borderId="15" xfId="1" applyFont="1" applyFill="1" applyBorder="1" applyAlignment="1">
      <alignment horizontal="right"/>
    </xf>
    <xf numFmtId="2" fontId="11" fillId="6" borderId="15" xfId="1" applyNumberFormat="1" applyFont="1" applyFill="1" applyBorder="1" applyAlignment="1">
      <alignment horizontal="center"/>
    </xf>
    <xf numFmtId="171" fontId="12" fillId="7" borderId="13" xfId="1" applyNumberFormat="1" applyFont="1" applyFill="1" applyBorder="1" applyAlignment="1">
      <alignment horizontal="center"/>
    </xf>
    <xf numFmtId="171" fontId="11" fillId="2" borderId="0" xfId="1" applyNumberFormat="1" applyFont="1" applyFill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right"/>
    </xf>
    <xf numFmtId="0" fontId="11" fillId="7" borderId="15" xfId="1" applyFont="1" applyFill="1" applyBorder="1" applyAlignment="1">
      <alignment horizontal="center"/>
    </xf>
    <xf numFmtId="0" fontId="3" fillId="2" borderId="0" xfId="1" applyFont="1" applyFill="1"/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72" fontId="13" fillId="3" borderId="0" xfId="1" applyNumberFormat="1" applyFont="1" applyFill="1" applyAlignment="1" applyProtection="1">
      <alignment horizontal="center"/>
      <protection locked="0"/>
    </xf>
    <xf numFmtId="166" fontId="12" fillId="2" borderId="0" xfId="1" applyNumberFormat="1" applyFont="1" applyFill="1" applyAlignment="1" applyProtection="1">
      <alignment horizontal="center"/>
      <protection locked="0"/>
    </xf>
    <xf numFmtId="2" fontId="12" fillId="2" borderId="13" xfId="1" applyNumberFormat="1" applyFont="1" applyFill="1" applyBorder="1" applyAlignment="1">
      <alignment horizontal="center"/>
    </xf>
    <xf numFmtId="0" fontId="12" fillId="2" borderId="13" xfId="1" applyFont="1" applyFill="1" applyBorder="1" applyAlignment="1">
      <alignment horizontal="center"/>
    </xf>
    <xf numFmtId="0" fontId="11" fillId="2" borderId="13" xfId="1" applyFont="1" applyFill="1" applyBorder="1" applyAlignment="1">
      <alignment horizontal="center"/>
    </xf>
    <xf numFmtId="0" fontId="13" fillId="3" borderId="21" xfId="1" applyFont="1" applyFill="1" applyBorder="1" applyAlignment="1" applyProtection="1">
      <alignment horizontal="center"/>
      <protection locked="0"/>
    </xf>
    <xf numFmtId="166" fontId="11" fillId="2" borderId="21" xfId="1" applyNumberFormat="1" applyFont="1" applyFill="1" applyBorder="1" applyAlignment="1">
      <alignment horizontal="center"/>
    </xf>
    <xf numFmtId="173" fontId="11" fillId="2" borderId="13" xfId="1" applyNumberFormat="1" applyFont="1" applyFill="1" applyBorder="1" applyAlignment="1">
      <alignment horizontal="center" vertical="center"/>
    </xf>
    <xf numFmtId="0" fontId="11" fillId="2" borderId="14" xfId="1" applyFont="1" applyFill="1" applyBorder="1" applyAlignment="1">
      <alignment horizontal="center"/>
    </xf>
    <xf numFmtId="166" fontId="11" fillId="2" borderId="23" xfId="1" applyNumberFormat="1" applyFont="1" applyFill="1" applyBorder="1" applyAlignment="1">
      <alignment horizontal="center"/>
    </xf>
    <xf numFmtId="173" fontId="11" fillId="2" borderId="14" xfId="1" applyNumberFormat="1" applyFont="1" applyFill="1" applyBorder="1" applyAlignment="1">
      <alignment horizontal="center" vertical="center"/>
    </xf>
    <xf numFmtId="1" fontId="13" fillId="3" borderId="23" xfId="1" applyNumberFormat="1" applyFont="1" applyFill="1" applyBorder="1" applyAlignment="1" applyProtection="1">
      <alignment horizontal="center"/>
      <protection locked="0"/>
    </xf>
    <xf numFmtId="0" fontId="11" fillId="2" borderId="15" xfId="1" applyFont="1" applyFill="1" applyBorder="1" applyAlignment="1">
      <alignment horizontal="center"/>
    </xf>
    <xf numFmtId="0" fontId="13" fillId="3" borderId="43" xfId="1" applyFont="1" applyFill="1" applyBorder="1" applyAlignment="1" applyProtection="1">
      <alignment horizontal="center"/>
      <protection locked="0"/>
    </xf>
    <xf numFmtId="166" fontId="11" fillId="2" borderId="43" xfId="1" applyNumberFormat="1" applyFont="1" applyFill="1" applyBorder="1" applyAlignment="1">
      <alignment horizontal="center"/>
    </xf>
    <xf numFmtId="173" fontId="11" fillId="2" borderId="15" xfId="1" applyNumberFormat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/>
    </xf>
    <xf numFmtId="2" fontId="14" fillId="2" borderId="44" xfId="1" applyNumberFormat="1" applyFont="1" applyFill="1" applyBorder="1" applyAlignment="1">
      <alignment horizontal="center"/>
    </xf>
    <xf numFmtId="0" fontId="11" fillId="2" borderId="45" xfId="1" applyFont="1" applyFill="1" applyBorder="1" applyAlignment="1">
      <alignment horizontal="right"/>
    </xf>
    <xf numFmtId="2" fontId="13" fillId="7" borderId="33" xfId="1" applyNumberFormat="1" applyFont="1" applyFill="1" applyBorder="1" applyAlignment="1">
      <alignment horizontal="center"/>
    </xf>
    <xf numFmtId="173" fontId="13" fillId="7" borderId="33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10" fontId="13" fillId="6" borderId="54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3" fillId="7" borderId="46" xfId="1" applyFont="1" applyFill="1" applyBorder="1" applyAlignment="1">
      <alignment horizontal="center"/>
    </xf>
    <xf numFmtId="174" fontId="13" fillId="2" borderId="0" xfId="1" applyNumberFormat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30" xfId="1" applyFont="1" applyFill="1" applyBorder="1" applyAlignment="1">
      <alignment horizontal="center"/>
    </xf>
    <xf numFmtId="0" fontId="11" fillId="2" borderId="48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1" fontId="12" fillId="6" borderId="49" xfId="1" applyNumberFormat="1" applyFont="1" applyFill="1" applyBorder="1" applyAlignment="1">
      <alignment horizontal="center"/>
    </xf>
    <xf numFmtId="1" fontId="12" fillId="6" borderId="50" xfId="1" applyNumberFormat="1" applyFont="1" applyFill="1" applyBorder="1" applyAlignment="1">
      <alignment horizontal="center"/>
    </xf>
    <xf numFmtId="171" fontId="12" fillId="6" borderId="15" xfId="1" applyNumberFormat="1" applyFont="1" applyFill="1" applyBorder="1" applyAlignment="1">
      <alignment horizontal="center"/>
    </xf>
    <xf numFmtId="0" fontId="11" fillId="2" borderId="51" xfId="1" applyFont="1" applyFill="1" applyBorder="1" applyAlignment="1">
      <alignment horizontal="right"/>
    </xf>
    <xf numFmtId="0" fontId="13" fillId="3" borderId="52" xfId="1" applyFont="1" applyFill="1" applyBorder="1" applyAlignment="1" applyProtection="1">
      <alignment horizontal="center"/>
      <protection locked="0"/>
    </xf>
    <xf numFmtId="0" fontId="11" fillId="2" borderId="25" xfId="1" applyFont="1" applyFill="1" applyBorder="1" applyAlignment="1">
      <alignment horizontal="right"/>
    </xf>
    <xf numFmtId="2" fontId="11" fillId="6" borderId="27" xfId="1" applyNumberFormat="1" applyFont="1" applyFill="1" applyBorder="1" applyAlignment="1">
      <alignment horizontal="center"/>
    </xf>
    <xf numFmtId="2" fontId="11" fillId="7" borderId="27" xfId="1" applyNumberFormat="1" applyFont="1" applyFill="1" applyBorder="1" applyAlignment="1">
      <alignment horizontal="center"/>
    </xf>
    <xf numFmtId="166" fontId="11" fillId="6" borderId="27" xfId="1" applyNumberFormat="1" applyFont="1" applyFill="1" applyBorder="1" applyAlignment="1">
      <alignment horizontal="center"/>
    </xf>
    <xf numFmtId="166" fontId="11" fillId="7" borderId="27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1" fillId="2" borderId="53" xfId="1" applyFont="1" applyFill="1" applyBorder="1" applyAlignment="1">
      <alignment horizontal="right"/>
    </xf>
    <xf numFmtId="2" fontId="11" fillId="7" borderId="30" xfId="1" applyNumberFormat="1" applyFont="1" applyFill="1" applyBorder="1" applyAlignment="1">
      <alignment horizontal="center"/>
    </xf>
    <xf numFmtId="0" fontId="12" fillId="2" borderId="0" xfId="1" applyFont="1" applyFill="1" applyAlignment="1">
      <alignment horizontal="center" wrapText="1"/>
    </xf>
    <xf numFmtId="0" fontId="11" fillId="2" borderId="16" xfId="1" applyFont="1" applyFill="1" applyBorder="1" applyAlignment="1">
      <alignment horizontal="right"/>
    </xf>
    <xf numFmtId="171" fontId="12" fillId="7" borderId="16" xfId="1" applyNumberFormat="1" applyFont="1" applyFill="1" applyBorder="1" applyAlignment="1">
      <alignment horizontal="center"/>
    </xf>
    <xf numFmtId="10" fontId="11" fillId="2" borderId="0" xfId="1" applyNumberFormat="1" applyFont="1" applyFill="1" applyAlignment="1">
      <alignment horizontal="center"/>
    </xf>
    <xf numFmtId="10" fontId="12" fillId="6" borderId="41" xfId="1" applyNumberFormat="1" applyFont="1" applyFill="1" applyBorder="1" applyAlignment="1">
      <alignment horizontal="center"/>
    </xf>
    <xf numFmtId="0" fontId="12" fillId="7" borderId="17" xfId="1" applyFont="1" applyFill="1" applyBorder="1" applyAlignment="1">
      <alignment horizontal="center"/>
    </xf>
    <xf numFmtId="0" fontId="12" fillId="2" borderId="22" xfId="1" applyFont="1" applyFill="1" applyBorder="1" applyAlignment="1">
      <alignment horizontal="center" wrapText="1"/>
    </xf>
    <xf numFmtId="1" fontId="13" fillId="3" borderId="13" xfId="1" applyNumberFormat="1" applyFont="1" applyFill="1" applyBorder="1" applyAlignment="1" applyProtection="1">
      <alignment horizontal="center"/>
      <protection locked="0"/>
    </xf>
    <xf numFmtId="166" fontId="11" fillId="2" borderId="13" xfId="1" applyNumberFormat="1" applyFont="1" applyFill="1" applyBorder="1" applyAlignment="1">
      <alignment horizontal="center"/>
    </xf>
    <xf numFmtId="173" fontId="11" fillId="2" borderId="22" xfId="1" applyNumberFormat="1" applyFont="1" applyFill="1" applyBorder="1" applyAlignment="1">
      <alignment horizontal="center"/>
    </xf>
    <xf numFmtId="1" fontId="13" fillId="3" borderId="14" xfId="1" applyNumberFormat="1" applyFont="1" applyFill="1" applyBorder="1" applyAlignment="1" applyProtection="1">
      <alignment horizontal="center"/>
      <protection locked="0"/>
    </xf>
    <xf numFmtId="166" fontId="11" fillId="2" borderId="14" xfId="1" applyNumberFormat="1" applyFont="1" applyFill="1" applyBorder="1" applyAlignment="1">
      <alignment horizontal="center"/>
    </xf>
    <xf numFmtId="173" fontId="11" fillId="2" borderId="24" xfId="1" applyNumberFormat="1" applyFont="1" applyFill="1" applyBorder="1" applyAlignment="1">
      <alignment horizontal="center"/>
    </xf>
    <xf numFmtId="1" fontId="13" fillId="3" borderId="15" xfId="1" applyNumberFormat="1" applyFont="1" applyFill="1" applyBorder="1" applyAlignment="1" applyProtection="1">
      <alignment horizontal="center"/>
      <protection locked="0"/>
    </xf>
    <xf numFmtId="166" fontId="11" fillId="2" borderId="15" xfId="1" applyNumberFormat="1" applyFont="1" applyFill="1" applyBorder="1" applyAlignment="1">
      <alignment horizontal="center"/>
    </xf>
    <xf numFmtId="173" fontId="11" fillId="2" borderId="44" xfId="1" applyNumberFormat="1" applyFont="1" applyFill="1" applyBorder="1" applyAlignment="1">
      <alignment horizontal="center"/>
    </xf>
    <xf numFmtId="0" fontId="11" fillId="2" borderId="23" xfId="1" applyFont="1" applyFill="1" applyBorder="1" applyAlignment="1">
      <alignment horizontal="center"/>
    </xf>
    <xf numFmtId="171" fontId="11" fillId="2" borderId="16" xfId="1" applyNumberFormat="1" applyFont="1" applyFill="1" applyBorder="1" applyAlignment="1">
      <alignment horizontal="right"/>
    </xf>
    <xf numFmtId="2" fontId="13" fillId="7" borderId="55" xfId="1" applyNumberFormat="1" applyFont="1" applyFill="1" applyBorder="1" applyAlignment="1">
      <alignment horizontal="center"/>
    </xf>
    <xf numFmtId="174" fontId="13" fillId="7" borderId="52" xfId="1" applyNumberFormat="1" applyFont="1" applyFill="1" applyBorder="1" applyAlignment="1">
      <alignment horizontal="center"/>
    </xf>
    <xf numFmtId="0" fontId="11" fillId="2" borderId="23" xfId="1" applyFont="1" applyFill="1" applyBorder="1"/>
    <xf numFmtId="0" fontId="11" fillId="2" borderId="14" xfId="1" applyFont="1" applyFill="1" applyBorder="1" applyAlignment="1">
      <alignment horizontal="right"/>
    </xf>
    <xf numFmtId="10" fontId="13" fillId="6" borderId="27" xfId="1" applyNumberFormat="1" applyFont="1" applyFill="1" applyBorder="1" applyAlignment="1">
      <alignment horizontal="center"/>
    </xf>
    <xf numFmtId="0" fontId="11" fillId="2" borderId="43" xfId="1" applyFont="1" applyFill="1" applyBorder="1"/>
    <xf numFmtId="0" fontId="13" fillId="7" borderId="28" xfId="1" applyFont="1" applyFill="1" applyBorder="1" applyAlignment="1">
      <alignment horizontal="center"/>
    </xf>
    <xf numFmtId="0" fontId="13" fillId="7" borderId="56" xfId="1" applyFont="1" applyFill="1" applyBorder="1" applyAlignment="1">
      <alignment horizontal="center"/>
    </xf>
    <xf numFmtId="0" fontId="11" fillId="2" borderId="13" xfId="1" applyFont="1" applyFill="1" applyBorder="1"/>
    <xf numFmtId="0" fontId="19" fillId="2" borderId="0" xfId="1" applyFont="1" applyFill="1" applyAlignment="1">
      <alignment horizontal="right" vertical="center" wrapText="1"/>
    </xf>
    <xf numFmtId="2" fontId="13" fillId="6" borderId="54" xfId="1" applyNumberFormat="1" applyFont="1" applyFill="1" applyBorder="1" applyAlignment="1">
      <alignment horizontal="center"/>
    </xf>
    <xf numFmtId="174" fontId="13" fillId="6" borderId="54" xfId="1" applyNumberFormat="1" applyFont="1" applyFill="1" applyBorder="1" applyAlignment="1">
      <alignment horizontal="center"/>
    </xf>
    <xf numFmtId="2" fontId="13" fillId="7" borderId="46" xfId="1" applyNumberFormat="1" applyFont="1" applyFill="1" applyBorder="1" applyAlignment="1">
      <alignment horizontal="center"/>
    </xf>
    <xf numFmtId="174" fontId="13" fillId="7" borderId="46" xfId="1" applyNumberFormat="1" applyFont="1" applyFill="1" applyBorder="1" applyAlignment="1">
      <alignment horizontal="center"/>
    </xf>
    <xf numFmtId="175" fontId="20" fillId="2" borderId="0" xfId="1" applyNumberFormat="1" applyFont="1" applyFill="1" applyAlignment="1">
      <alignment horizontal="center"/>
    </xf>
    <xf numFmtId="165" fontId="13" fillId="2" borderId="0" xfId="1" applyNumberFormat="1" applyFont="1" applyFill="1" applyAlignment="1">
      <alignment horizontal="center"/>
    </xf>
    <xf numFmtId="0" fontId="19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/>
    <xf numFmtId="0" fontId="12" fillId="2" borderId="11" xfId="1" applyFont="1" applyFill="1" applyBorder="1"/>
    <xf numFmtId="0" fontId="11" fillId="2" borderId="11" xfId="1" applyFont="1" applyFill="1" applyBorder="1"/>
    <xf numFmtId="0" fontId="2" fillId="2" borderId="0" xfId="2" applyFont="1" applyFill="1"/>
    <xf numFmtId="0" fontId="11" fillId="2" borderId="0" xfId="2" applyFont="1" applyFill="1"/>
    <xf numFmtId="0" fontId="25" fillId="2" borderId="0" xfId="2" applyFill="1"/>
    <xf numFmtId="0" fontId="12" fillId="2" borderId="0" xfId="2" applyFont="1" applyFill="1"/>
    <xf numFmtId="0" fontId="13" fillId="2" borderId="0" xfId="2" applyFont="1" applyFill="1" applyAlignment="1" applyProtection="1">
      <alignment horizontal="right"/>
      <protection locked="0"/>
    </xf>
    <xf numFmtId="0" fontId="13" fillId="2" borderId="0" xfId="2" applyFont="1" applyFill="1" applyAlignment="1" applyProtection="1">
      <alignment horizontal="left"/>
      <protection locked="0"/>
    </xf>
    <xf numFmtId="0" fontId="14" fillId="2" borderId="0" xfId="2" applyFont="1" applyFill="1"/>
    <xf numFmtId="0" fontId="14" fillId="3" borderId="0" xfId="2" applyFont="1" applyFill="1" applyAlignment="1" applyProtection="1">
      <alignment horizontal="left"/>
      <protection locked="0"/>
    </xf>
    <xf numFmtId="0" fontId="11" fillId="3" borderId="0" xfId="2" applyFont="1" applyFill="1" applyProtection="1">
      <protection locked="0"/>
    </xf>
    <xf numFmtId="168" fontId="14" fillId="3" borderId="0" xfId="2" applyNumberFormat="1" applyFont="1" applyFill="1" applyAlignment="1" applyProtection="1">
      <alignment horizontal="center"/>
      <protection locked="0"/>
    </xf>
    <xf numFmtId="169" fontId="11" fillId="2" borderId="0" xfId="2" applyNumberFormat="1" applyFont="1" applyFill="1" applyAlignment="1">
      <alignment horizontal="left"/>
    </xf>
    <xf numFmtId="0" fontId="3" fillId="2" borderId="0" xfId="2" applyFont="1" applyFill="1" applyAlignment="1">
      <alignment horizontal="left"/>
    </xf>
    <xf numFmtId="0" fontId="12" fillId="2" borderId="0" xfId="2" applyFont="1" applyFill="1" applyAlignment="1">
      <alignment horizontal="right"/>
    </xf>
    <xf numFmtId="0" fontId="11" fillId="2" borderId="0" xfId="2" applyFont="1" applyFill="1" applyAlignment="1">
      <alignment horizontal="right"/>
    </xf>
    <xf numFmtId="0" fontId="13" fillId="3" borderId="0" xfId="2" applyFont="1" applyFill="1" applyAlignment="1" applyProtection="1">
      <alignment horizontal="center"/>
      <protection locked="0"/>
    </xf>
    <xf numFmtId="0" fontId="14" fillId="3" borderId="0" xfId="2" applyFont="1" applyFill="1" applyAlignment="1" applyProtection="1">
      <alignment horizontal="center"/>
      <protection locked="0"/>
    </xf>
    <xf numFmtId="0" fontId="5" fillId="2" borderId="1" xfId="2" applyFont="1" applyFill="1" applyBorder="1" applyAlignment="1">
      <alignment horizontal="center"/>
    </xf>
    <xf numFmtId="0" fontId="15" fillId="2" borderId="0" xfId="2" applyFont="1" applyFill="1" applyAlignment="1">
      <alignment vertical="center" wrapText="1"/>
    </xf>
    <xf numFmtId="0" fontId="12" fillId="2" borderId="0" xfId="2" applyFont="1" applyFill="1" applyAlignment="1">
      <alignment horizontal="center"/>
    </xf>
    <xf numFmtId="0" fontId="16" fillId="2" borderId="0" xfId="2" applyFont="1" applyFill="1"/>
    <xf numFmtId="0" fontId="17" fillId="2" borderId="0" xfId="2" applyFont="1" applyFill="1"/>
    <xf numFmtId="2" fontId="13" fillId="3" borderId="0" xfId="2" applyNumberFormat="1" applyFont="1" applyFill="1" applyAlignment="1" applyProtection="1">
      <alignment horizontal="center"/>
      <protection locked="0"/>
    </xf>
    <xf numFmtId="0" fontId="12" fillId="2" borderId="0" xfId="2" applyFont="1" applyFill="1" applyAlignment="1">
      <alignment vertical="center" wrapText="1"/>
    </xf>
    <xf numFmtId="0" fontId="18" fillId="2" borderId="0" xfId="2" applyFont="1" applyFill="1"/>
    <xf numFmtId="2" fontId="12" fillId="2" borderId="0" xfId="2" applyNumberFormat="1" applyFont="1" applyFill="1" applyAlignment="1">
      <alignment horizontal="center"/>
    </xf>
    <xf numFmtId="0" fontId="19" fillId="2" borderId="0" xfId="2" applyFont="1" applyFill="1" applyAlignment="1">
      <alignment horizontal="left" vertical="center" wrapText="1"/>
    </xf>
    <xf numFmtId="170" fontId="12" fillId="2" borderId="0" xfId="2" applyNumberFormat="1" applyFont="1" applyFill="1" applyAlignment="1">
      <alignment horizontal="center"/>
    </xf>
    <xf numFmtId="0" fontId="11" fillId="2" borderId="21" xfId="2" applyFont="1" applyFill="1" applyBorder="1" applyAlignment="1">
      <alignment horizontal="right"/>
    </xf>
    <xf numFmtId="0" fontId="13" fillId="3" borderId="22" xfId="2" applyFont="1" applyFill="1" applyBorder="1" applyAlignment="1" applyProtection="1">
      <alignment horizontal="center"/>
      <protection locked="0"/>
    </xf>
    <xf numFmtId="0" fontId="11" fillId="2" borderId="23" xfId="2" applyFont="1" applyFill="1" applyBorder="1" applyAlignment="1">
      <alignment horizontal="right"/>
    </xf>
    <xf numFmtId="0" fontId="13" fillId="3" borderId="24" xfId="2" applyFont="1" applyFill="1" applyBorder="1" applyAlignment="1" applyProtection="1">
      <alignment horizontal="center"/>
      <protection locked="0"/>
    </xf>
    <xf numFmtId="0" fontId="12" fillId="2" borderId="22" xfId="2" applyFont="1" applyFill="1" applyBorder="1" applyAlignment="1">
      <alignment horizontal="center"/>
    </xf>
    <xf numFmtId="0" fontId="12" fillId="2" borderId="25" xfId="2" applyFont="1" applyFill="1" applyBorder="1" applyAlignment="1">
      <alignment horizontal="center"/>
    </xf>
    <xf numFmtId="0" fontId="12" fillId="2" borderId="26" xfId="2" applyFont="1" applyFill="1" applyBorder="1" applyAlignment="1">
      <alignment horizontal="center"/>
    </xf>
    <xf numFmtId="0" fontId="12" fillId="2" borderId="27" xfId="2" applyFont="1" applyFill="1" applyBorder="1" applyAlignment="1">
      <alignment horizontal="center"/>
    </xf>
    <xf numFmtId="0" fontId="12" fillId="2" borderId="12" xfId="2" applyFont="1" applyFill="1" applyBorder="1" applyAlignment="1">
      <alignment horizontal="center"/>
    </xf>
    <xf numFmtId="0" fontId="11" fillId="2" borderId="28" xfId="2" applyFont="1" applyFill="1" applyBorder="1" applyAlignment="1">
      <alignment horizontal="center"/>
    </xf>
    <xf numFmtId="0" fontId="13" fillId="3" borderId="29" xfId="2" applyFont="1" applyFill="1" applyBorder="1" applyAlignment="1" applyProtection="1">
      <alignment horizontal="center"/>
      <protection locked="0"/>
    </xf>
    <xf numFmtId="171" fontId="11" fillId="2" borderId="26" xfId="2" applyNumberFormat="1" applyFont="1" applyFill="1" applyBorder="1" applyAlignment="1">
      <alignment horizontal="center"/>
    </xf>
    <xf numFmtId="171" fontId="11" fillId="2" borderId="30" xfId="2" applyNumberFormat="1" applyFont="1" applyFill="1" applyBorder="1" applyAlignment="1">
      <alignment horizontal="center"/>
    </xf>
    <xf numFmtId="0" fontId="18" fillId="2" borderId="13" xfId="2" applyFont="1" applyFill="1" applyBorder="1"/>
    <xf numFmtId="0" fontId="11" fillId="2" borderId="24" xfId="2" applyFont="1" applyFill="1" applyBorder="1" applyAlignment="1">
      <alignment horizontal="center"/>
    </xf>
    <xf numFmtId="0" fontId="13" fillId="3" borderId="23" xfId="2" applyFont="1" applyFill="1" applyBorder="1" applyAlignment="1" applyProtection="1">
      <alignment horizontal="center"/>
      <protection locked="0"/>
    </xf>
    <xf numFmtId="171" fontId="11" fillId="2" borderId="31" xfId="2" applyNumberFormat="1" applyFont="1" applyFill="1" applyBorder="1" applyAlignment="1">
      <alignment horizontal="center"/>
    </xf>
    <xf numFmtId="171" fontId="11" fillId="2" borderId="32" xfId="2" applyNumberFormat="1" applyFont="1" applyFill="1" applyBorder="1" applyAlignment="1">
      <alignment horizontal="center"/>
    </xf>
    <xf numFmtId="0" fontId="11" fillId="2" borderId="33" xfId="2" applyFont="1" applyFill="1" applyBorder="1" applyAlignment="1">
      <alignment horizontal="center"/>
    </xf>
    <xf numFmtId="0" fontId="13" fillId="3" borderId="34" xfId="2" applyFont="1" applyFill="1" applyBorder="1" applyAlignment="1" applyProtection="1">
      <alignment horizontal="center"/>
      <protection locked="0"/>
    </xf>
    <xf numFmtId="171" fontId="11" fillId="2" borderId="35" xfId="2" applyNumberFormat="1" applyFont="1" applyFill="1" applyBorder="1" applyAlignment="1">
      <alignment horizontal="center"/>
    </xf>
    <xf numFmtId="171" fontId="11" fillId="2" borderId="36" xfId="2" applyNumberFormat="1" applyFont="1" applyFill="1" applyBorder="1" applyAlignment="1">
      <alignment horizontal="center"/>
    </xf>
    <xf numFmtId="0" fontId="11" fillId="2" borderId="15" xfId="2" applyFont="1" applyFill="1" applyBorder="1"/>
    <xf numFmtId="0" fontId="11" fillId="2" borderId="24" xfId="2" applyFont="1" applyFill="1" applyBorder="1" applyAlignment="1">
      <alignment horizontal="right"/>
    </xf>
    <xf numFmtId="1" fontId="12" fillId="6" borderId="37" xfId="2" applyNumberFormat="1" applyFont="1" applyFill="1" applyBorder="1" applyAlignment="1">
      <alignment horizontal="center"/>
    </xf>
    <xf numFmtId="171" fontId="12" fillId="6" borderId="38" xfId="2" applyNumberFormat="1" applyFont="1" applyFill="1" applyBorder="1" applyAlignment="1">
      <alignment horizontal="center"/>
    </xf>
    <xf numFmtId="171" fontId="12" fillId="6" borderId="39" xfId="2" applyNumberFormat="1" applyFont="1" applyFill="1" applyBorder="1" applyAlignment="1">
      <alignment horizontal="center"/>
    </xf>
    <xf numFmtId="0" fontId="2" fillId="2" borderId="0" xfId="2" applyFont="1" applyFill="1" applyAlignment="1">
      <alignment horizontal="center"/>
    </xf>
    <xf numFmtId="0" fontId="11" fillId="2" borderId="40" xfId="2" applyFont="1" applyFill="1" applyBorder="1" applyAlignment="1">
      <alignment horizontal="right"/>
    </xf>
    <xf numFmtId="0" fontId="13" fillId="3" borderId="16" xfId="2" applyFont="1" applyFill="1" applyBorder="1" applyAlignment="1" applyProtection="1">
      <alignment horizontal="center"/>
      <protection locked="0"/>
    </xf>
    <xf numFmtId="0" fontId="11" fillId="2" borderId="11" xfId="2" applyFont="1" applyFill="1" applyBorder="1" applyAlignment="1">
      <alignment horizontal="right"/>
    </xf>
    <xf numFmtId="2" fontId="11" fillId="6" borderId="41" xfId="2" applyNumberFormat="1" applyFont="1" applyFill="1" applyBorder="1" applyAlignment="1">
      <alignment horizontal="center"/>
    </xf>
    <xf numFmtId="0" fontId="11" fillId="2" borderId="0" xfId="2" applyFont="1" applyFill="1" applyAlignment="1">
      <alignment horizontal="center"/>
    </xf>
    <xf numFmtId="2" fontId="11" fillId="7" borderId="41" xfId="2" applyNumberFormat="1" applyFont="1" applyFill="1" applyBorder="1" applyAlignment="1">
      <alignment horizontal="center"/>
    </xf>
    <xf numFmtId="2" fontId="11" fillId="2" borderId="0" xfId="2" applyNumberFormat="1" applyFont="1" applyFill="1" applyAlignment="1">
      <alignment horizontal="center"/>
    </xf>
    <xf numFmtId="166" fontId="11" fillId="6" borderId="41" xfId="2" applyNumberFormat="1" applyFont="1" applyFill="1" applyBorder="1" applyAlignment="1">
      <alignment horizontal="center"/>
    </xf>
    <xf numFmtId="166" fontId="11" fillId="2" borderId="0" xfId="2" applyNumberFormat="1" applyFont="1" applyFill="1" applyAlignment="1">
      <alignment horizontal="center"/>
    </xf>
    <xf numFmtId="166" fontId="11" fillId="6" borderId="17" xfId="2" applyNumberFormat="1" applyFont="1" applyFill="1" applyBorder="1" applyAlignment="1">
      <alignment horizontal="center"/>
    </xf>
    <xf numFmtId="0" fontId="11" fillId="2" borderId="42" xfId="2" applyFont="1" applyFill="1" applyBorder="1" applyAlignment="1">
      <alignment horizontal="right"/>
    </xf>
    <xf numFmtId="166" fontId="13" fillId="3" borderId="41" xfId="2" applyNumberFormat="1" applyFont="1" applyFill="1" applyBorder="1" applyAlignment="1" applyProtection="1">
      <alignment horizontal="center"/>
      <protection locked="0"/>
    </xf>
    <xf numFmtId="166" fontId="11" fillId="2" borderId="0" xfId="2" applyNumberFormat="1" applyFont="1" applyFill="1"/>
    <xf numFmtId="0" fontId="11" fillId="2" borderId="29" xfId="2" applyFont="1" applyFill="1" applyBorder="1" applyAlignment="1">
      <alignment horizontal="right"/>
    </xf>
    <xf numFmtId="1" fontId="11" fillId="2" borderId="0" xfId="2" applyNumberFormat="1" applyFont="1" applyFill="1" applyAlignment="1">
      <alignment horizontal="center"/>
    </xf>
    <xf numFmtId="0" fontId="11" fillId="2" borderId="15" xfId="2" applyFont="1" applyFill="1" applyBorder="1" applyAlignment="1">
      <alignment horizontal="right"/>
    </xf>
    <xf numFmtId="2" fontId="11" fillId="6" borderId="15" xfId="2" applyNumberFormat="1" applyFont="1" applyFill="1" applyBorder="1" applyAlignment="1">
      <alignment horizontal="center"/>
    </xf>
    <xf numFmtId="171" fontId="12" fillId="7" borderId="13" xfId="2" applyNumberFormat="1" applyFont="1" applyFill="1" applyBorder="1" applyAlignment="1">
      <alignment horizontal="center"/>
    </xf>
    <xf numFmtId="171" fontId="11" fillId="2" borderId="0" xfId="2" applyNumberFormat="1" applyFont="1" applyFill="1" applyAlignment="1">
      <alignment horizontal="center"/>
    </xf>
    <xf numFmtId="10" fontId="11" fillId="6" borderId="41" xfId="2" applyNumberFormat="1" applyFont="1" applyFill="1" applyBorder="1" applyAlignment="1">
      <alignment horizontal="center"/>
    </xf>
    <xf numFmtId="0" fontId="11" fillId="2" borderId="43" xfId="2" applyFont="1" applyFill="1" applyBorder="1" applyAlignment="1">
      <alignment horizontal="right"/>
    </xf>
    <xf numFmtId="0" fontId="11" fillId="7" borderId="15" xfId="2" applyFont="1" applyFill="1" applyBorder="1" applyAlignment="1">
      <alignment horizontal="center"/>
    </xf>
    <xf numFmtId="0" fontId="3" fillId="2" borderId="0" xfId="2" applyFont="1" applyFill="1"/>
    <xf numFmtId="0" fontId="12" fillId="2" borderId="0" xfId="2" applyFont="1" applyFill="1" applyAlignment="1">
      <alignment horizontal="left"/>
    </xf>
    <xf numFmtId="0" fontId="11" fillId="2" borderId="0" xfId="2" applyFont="1" applyFill="1" applyAlignment="1">
      <alignment horizontal="left"/>
    </xf>
    <xf numFmtId="172" fontId="13" fillId="3" borderId="0" xfId="2" applyNumberFormat="1" applyFont="1" applyFill="1" applyAlignment="1" applyProtection="1">
      <alignment horizontal="center"/>
      <protection locked="0"/>
    </xf>
    <xf numFmtId="166" fontId="12" fillId="2" borderId="0" xfId="2" applyNumberFormat="1" applyFont="1" applyFill="1" applyAlignment="1" applyProtection="1">
      <alignment horizontal="center"/>
      <protection locked="0"/>
    </xf>
    <xf numFmtId="2" fontId="12" fillId="2" borderId="13" xfId="2" applyNumberFormat="1" applyFont="1" applyFill="1" applyBorder="1" applyAlignment="1">
      <alignment horizontal="center"/>
    </xf>
    <xf numFmtId="0" fontId="12" fillId="2" borderId="13" xfId="2" applyFont="1" applyFill="1" applyBorder="1" applyAlignment="1">
      <alignment horizontal="center"/>
    </xf>
    <xf numFmtId="0" fontId="11" fillId="2" borderId="13" xfId="2" applyFont="1" applyFill="1" applyBorder="1" applyAlignment="1">
      <alignment horizontal="center"/>
    </xf>
    <xf numFmtId="0" fontId="13" fillId="3" borderId="21" xfId="2" applyFont="1" applyFill="1" applyBorder="1" applyAlignment="1" applyProtection="1">
      <alignment horizontal="center"/>
      <protection locked="0"/>
    </xf>
    <xf numFmtId="166" fontId="11" fillId="2" borderId="21" xfId="2" applyNumberFormat="1" applyFont="1" applyFill="1" applyBorder="1" applyAlignment="1">
      <alignment horizontal="center"/>
    </xf>
    <xf numFmtId="173" fontId="11" fillId="2" borderId="13" xfId="2" applyNumberFormat="1" applyFont="1" applyFill="1" applyBorder="1" applyAlignment="1">
      <alignment horizontal="center" vertical="center"/>
    </xf>
    <xf numFmtId="0" fontId="11" fillId="2" borderId="14" xfId="2" applyFont="1" applyFill="1" applyBorder="1" applyAlignment="1">
      <alignment horizontal="center"/>
    </xf>
    <xf numFmtId="166" fontId="11" fillId="2" borderId="23" xfId="2" applyNumberFormat="1" applyFont="1" applyFill="1" applyBorder="1" applyAlignment="1">
      <alignment horizontal="center"/>
    </xf>
    <xf numFmtId="173" fontId="11" fillId="2" borderId="14" xfId="2" applyNumberFormat="1" applyFont="1" applyFill="1" applyBorder="1" applyAlignment="1">
      <alignment horizontal="center" vertical="center"/>
    </xf>
    <xf numFmtId="1" fontId="13" fillId="3" borderId="23" xfId="2" applyNumberFormat="1" applyFont="1" applyFill="1" applyBorder="1" applyAlignment="1" applyProtection="1">
      <alignment horizontal="center"/>
      <protection locked="0"/>
    </xf>
    <xf numFmtId="0" fontId="11" fillId="2" borderId="15" xfId="2" applyFont="1" applyFill="1" applyBorder="1" applyAlignment="1">
      <alignment horizontal="center"/>
    </xf>
    <xf numFmtId="0" fontId="13" fillId="3" borderId="43" xfId="2" applyFont="1" applyFill="1" applyBorder="1" applyAlignment="1" applyProtection="1">
      <alignment horizontal="center"/>
      <protection locked="0"/>
    </xf>
    <xf numFmtId="166" fontId="11" fillId="2" borderId="43" xfId="2" applyNumberFormat="1" applyFont="1" applyFill="1" applyBorder="1" applyAlignment="1">
      <alignment horizontal="center"/>
    </xf>
    <xf numFmtId="173" fontId="11" fillId="2" borderId="15" xfId="2" applyNumberFormat="1" applyFont="1" applyFill="1" applyBorder="1" applyAlignment="1">
      <alignment horizontal="center" vertical="center"/>
    </xf>
    <xf numFmtId="0" fontId="14" fillId="2" borderId="24" xfId="2" applyFont="1" applyFill="1" applyBorder="1" applyAlignment="1">
      <alignment horizontal="center"/>
    </xf>
    <xf numFmtId="2" fontId="14" fillId="2" borderId="44" xfId="2" applyNumberFormat="1" applyFont="1" applyFill="1" applyBorder="1" applyAlignment="1">
      <alignment horizontal="center"/>
    </xf>
    <xf numFmtId="0" fontId="11" fillId="2" borderId="45" xfId="2" applyFont="1" applyFill="1" applyBorder="1" applyAlignment="1">
      <alignment horizontal="right"/>
    </xf>
    <xf numFmtId="2" fontId="13" fillId="7" borderId="33" xfId="2" applyNumberFormat="1" applyFont="1" applyFill="1" applyBorder="1" applyAlignment="1">
      <alignment horizontal="center"/>
    </xf>
    <xf numFmtId="173" fontId="13" fillId="7" borderId="33" xfId="2" applyNumberFormat="1" applyFont="1" applyFill="1" applyBorder="1" applyAlignment="1">
      <alignment horizontal="center"/>
    </xf>
    <xf numFmtId="0" fontId="11" fillId="2" borderId="41" xfId="2" applyFont="1" applyFill="1" applyBorder="1" applyAlignment="1">
      <alignment horizontal="right"/>
    </xf>
    <xf numFmtId="10" fontId="13" fillId="6" borderId="54" xfId="2" applyNumberFormat="1" applyFont="1" applyFill="1" applyBorder="1" applyAlignment="1">
      <alignment horizontal="center"/>
    </xf>
    <xf numFmtId="0" fontId="11" fillId="2" borderId="17" xfId="2" applyFont="1" applyFill="1" applyBorder="1" applyAlignment="1">
      <alignment horizontal="right"/>
    </xf>
    <xf numFmtId="0" fontId="13" fillId="7" borderId="46" xfId="2" applyFont="1" applyFill="1" applyBorder="1" applyAlignment="1">
      <alignment horizontal="center"/>
    </xf>
    <xf numFmtId="174" fontId="13" fillId="2" borderId="0" xfId="2" applyNumberFormat="1" applyFont="1" applyFill="1" applyAlignment="1">
      <alignment horizontal="center"/>
    </xf>
    <xf numFmtId="0" fontId="12" fillId="2" borderId="47" xfId="2" applyFont="1" applyFill="1" applyBorder="1" applyAlignment="1">
      <alignment horizontal="center"/>
    </xf>
    <xf numFmtId="0" fontId="12" fillId="2" borderId="40" xfId="2" applyFont="1" applyFill="1" applyBorder="1" applyAlignment="1">
      <alignment horizontal="center"/>
    </xf>
    <xf numFmtId="0" fontId="12" fillId="2" borderId="10" xfId="2" applyFont="1" applyFill="1" applyBorder="1" applyAlignment="1">
      <alignment horizontal="center"/>
    </xf>
    <xf numFmtId="0" fontId="12" fillId="2" borderId="30" xfId="2" applyFont="1" applyFill="1" applyBorder="1" applyAlignment="1">
      <alignment horizontal="center"/>
    </xf>
    <xf numFmtId="0" fontId="11" fillId="2" borderId="48" xfId="2" applyFont="1" applyFill="1" applyBorder="1" applyAlignment="1">
      <alignment horizontal="center"/>
    </xf>
    <xf numFmtId="0" fontId="11" fillId="2" borderId="7" xfId="2" applyFont="1" applyFill="1" applyBorder="1" applyAlignment="1">
      <alignment horizontal="center"/>
    </xf>
    <xf numFmtId="171" fontId="13" fillId="3" borderId="34" xfId="2" applyNumberFormat="1" applyFont="1" applyFill="1" applyBorder="1" applyAlignment="1" applyProtection="1">
      <alignment horizontal="center"/>
      <protection locked="0"/>
    </xf>
    <xf numFmtId="1" fontId="12" fillId="6" borderId="49" xfId="2" applyNumberFormat="1" applyFont="1" applyFill="1" applyBorder="1" applyAlignment="1">
      <alignment horizontal="center"/>
    </xf>
    <xf numFmtId="1" fontId="12" fillId="6" borderId="50" xfId="2" applyNumberFormat="1" applyFont="1" applyFill="1" applyBorder="1" applyAlignment="1">
      <alignment horizontal="center"/>
    </xf>
    <xf numFmtId="171" fontId="12" fillId="6" borderId="15" xfId="2" applyNumberFormat="1" applyFont="1" applyFill="1" applyBorder="1" applyAlignment="1">
      <alignment horizontal="center"/>
    </xf>
    <xf numFmtId="0" fontId="11" fillId="2" borderId="51" xfId="2" applyFont="1" applyFill="1" applyBorder="1" applyAlignment="1">
      <alignment horizontal="right"/>
    </xf>
    <xf numFmtId="0" fontId="13" fillId="3" borderId="52" xfId="2" applyFont="1" applyFill="1" applyBorder="1" applyAlignment="1" applyProtection="1">
      <alignment horizontal="center"/>
      <protection locked="0"/>
    </xf>
    <xf numFmtId="0" fontId="11" fillId="2" borderId="25" xfId="2" applyFont="1" applyFill="1" applyBorder="1" applyAlignment="1">
      <alignment horizontal="right"/>
    </xf>
    <xf numFmtId="2" fontId="11" fillId="6" borderId="27" xfId="2" applyNumberFormat="1" applyFont="1" applyFill="1" applyBorder="1" applyAlignment="1">
      <alignment horizontal="center"/>
    </xf>
    <xf numFmtId="2" fontId="11" fillId="7" borderId="27" xfId="2" applyNumberFormat="1" applyFont="1" applyFill="1" applyBorder="1" applyAlignment="1">
      <alignment horizontal="center"/>
    </xf>
    <xf numFmtId="166" fontId="11" fillId="6" borderId="27" xfId="2" applyNumberFormat="1" applyFont="1" applyFill="1" applyBorder="1" applyAlignment="1">
      <alignment horizontal="center"/>
    </xf>
    <xf numFmtId="166" fontId="11" fillId="7" borderId="27" xfId="2" applyNumberFormat="1" applyFont="1" applyFill="1" applyBorder="1" applyAlignment="1">
      <alignment horizontal="center"/>
    </xf>
    <xf numFmtId="2" fontId="2" fillId="2" borderId="0" xfId="2" applyNumberFormat="1" applyFont="1" applyFill="1" applyAlignment="1">
      <alignment horizontal="center"/>
    </xf>
    <xf numFmtId="0" fontId="11" fillId="2" borderId="53" xfId="2" applyFont="1" applyFill="1" applyBorder="1" applyAlignment="1">
      <alignment horizontal="right"/>
    </xf>
    <xf numFmtId="2" fontId="11" fillId="7" borderId="30" xfId="2" applyNumberFormat="1" applyFont="1" applyFill="1" applyBorder="1" applyAlignment="1">
      <alignment horizontal="center"/>
    </xf>
    <xf numFmtId="0" fontId="12" fillId="2" borderId="0" xfId="2" applyFont="1" applyFill="1" applyAlignment="1">
      <alignment horizontal="center" wrapText="1"/>
    </xf>
    <xf numFmtId="0" fontId="11" fillId="2" borderId="16" xfId="2" applyFont="1" applyFill="1" applyBorder="1" applyAlignment="1">
      <alignment horizontal="right"/>
    </xf>
    <xf numFmtId="171" fontId="12" fillId="7" borderId="16" xfId="2" applyNumberFormat="1" applyFont="1" applyFill="1" applyBorder="1" applyAlignment="1">
      <alignment horizontal="center"/>
    </xf>
    <xf numFmtId="10" fontId="11" fillId="2" borderId="0" xfId="2" applyNumberFormat="1" applyFont="1" applyFill="1" applyAlignment="1">
      <alignment horizontal="center"/>
    </xf>
    <xf numFmtId="10" fontId="12" fillId="6" borderId="41" xfId="2" applyNumberFormat="1" applyFont="1" applyFill="1" applyBorder="1" applyAlignment="1">
      <alignment horizontal="center"/>
    </xf>
    <xf numFmtId="0" fontId="12" fillId="7" borderId="17" xfId="2" applyFont="1" applyFill="1" applyBorder="1" applyAlignment="1">
      <alignment horizontal="center"/>
    </xf>
    <xf numFmtId="0" fontId="12" fillId="2" borderId="22" xfId="2" applyFont="1" applyFill="1" applyBorder="1" applyAlignment="1">
      <alignment horizontal="center" wrapText="1"/>
    </xf>
    <xf numFmtId="1" fontId="13" fillId="3" borderId="13" xfId="2" applyNumberFormat="1" applyFont="1" applyFill="1" applyBorder="1" applyAlignment="1" applyProtection="1">
      <alignment horizontal="center"/>
      <protection locked="0"/>
    </xf>
    <xf numFmtId="166" fontId="11" fillId="2" borderId="13" xfId="2" applyNumberFormat="1" applyFont="1" applyFill="1" applyBorder="1" applyAlignment="1">
      <alignment horizontal="center"/>
    </xf>
    <xf numFmtId="173" fontId="11" fillId="2" borderId="22" xfId="2" applyNumberFormat="1" applyFont="1" applyFill="1" applyBorder="1" applyAlignment="1">
      <alignment horizontal="center"/>
    </xf>
    <xf numFmtId="1" fontId="13" fillId="3" borderId="14" xfId="2" applyNumberFormat="1" applyFont="1" applyFill="1" applyBorder="1" applyAlignment="1" applyProtection="1">
      <alignment horizontal="center"/>
      <protection locked="0"/>
    </xf>
    <xf numFmtId="166" fontId="11" fillId="2" borderId="14" xfId="2" applyNumberFormat="1" applyFont="1" applyFill="1" applyBorder="1" applyAlignment="1">
      <alignment horizontal="center"/>
    </xf>
    <xf numFmtId="173" fontId="11" fillId="2" borderId="24" xfId="2" applyNumberFormat="1" applyFont="1" applyFill="1" applyBorder="1" applyAlignment="1">
      <alignment horizontal="center"/>
    </xf>
    <xf numFmtId="1" fontId="13" fillId="3" borderId="15" xfId="2" applyNumberFormat="1" applyFont="1" applyFill="1" applyBorder="1" applyAlignment="1" applyProtection="1">
      <alignment horizontal="center"/>
      <protection locked="0"/>
    </xf>
    <xf numFmtId="166" fontId="11" fillId="2" borderId="15" xfId="2" applyNumberFormat="1" applyFont="1" applyFill="1" applyBorder="1" applyAlignment="1">
      <alignment horizontal="center"/>
    </xf>
    <xf numFmtId="173" fontId="11" fillId="2" borderId="44" xfId="2" applyNumberFormat="1" applyFont="1" applyFill="1" applyBorder="1" applyAlignment="1">
      <alignment horizontal="center"/>
    </xf>
    <xf numFmtId="0" fontId="11" fillId="2" borderId="23" xfId="2" applyFont="1" applyFill="1" applyBorder="1" applyAlignment="1">
      <alignment horizontal="center"/>
    </xf>
    <xf numFmtId="171" fontId="11" fillId="2" borderId="16" xfId="2" applyNumberFormat="1" applyFont="1" applyFill="1" applyBorder="1" applyAlignment="1">
      <alignment horizontal="right"/>
    </xf>
    <xf numFmtId="2" fontId="13" fillId="7" borderId="55" xfId="2" applyNumberFormat="1" applyFont="1" applyFill="1" applyBorder="1" applyAlignment="1">
      <alignment horizontal="center"/>
    </xf>
    <xf numFmtId="174" fontId="13" fillId="7" borderId="52" xfId="2" applyNumberFormat="1" applyFont="1" applyFill="1" applyBorder="1" applyAlignment="1">
      <alignment horizontal="center"/>
    </xf>
    <xf numFmtId="0" fontId="11" fillId="2" borderId="23" xfId="2" applyFont="1" applyFill="1" applyBorder="1"/>
    <xf numFmtId="0" fontId="11" fillId="2" borderId="14" xfId="2" applyFont="1" applyFill="1" applyBorder="1" applyAlignment="1">
      <alignment horizontal="right"/>
    </xf>
    <xf numFmtId="10" fontId="13" fillId="6" borderId="27" xfId="2" applyNumberFormat="1" applyFont="1" applyFill="1" applyBorder="1" applyAlignment="1">
      <alignment horizontal="center"/>
    </xf>
    <xf numFmtId="0" fontId="11" fillId="2" borderId="43" xfId="2" applyFont="1" applyFill="1" applyBorder="1"/>
    <xf numFmtId="0" fontId="13" fillId="7" borderId="28" xfId="2" applyFont="1" applyFill="1" applyBorder="1" applyAlignment="1">
      <alignment horizontal="center"/>
    </xf>
    <xf numFmtId="0" fontId="13" fillId="7" borderId="56" xfId="2" applyFont="1" applyFill="1" applyBorder="1" applyAlignment="1">
      <alignment horizontal="center"/>
    </xf>
    <xf numFmtId="0" fontId="11" fillId="2" borderId="13" xfId="2" applyFont="1" applyFill="1" applyBorder="1"/>
    <xf numFmtId="0" fontId="19" fillId="2" borderId="0" xfId="2" applyFont="1" applyFill="1" applyAlignment="1">
      <alignment horizontal="right" vertical="center" wrapText="1"/>
    </xf>
    <xf numFmtId="2" fontId="13" fillId="6" borderId="54" xfId="2" applyNumberFormat="1" applyFont="1" applyFill="1" applyBorder="1" applyAlignment="1">
      <alignment horizontal="center"/>
    </xf>
    <xf numFmtId="174" fontId="13" fillId="6" borderId="54" xfId="2" applyNumberFormat="1" applyFont="1" applyFill="1" applyBorder="1" applyAlignment="1">
      <alignment horizontal="center"/>
    </xf>
    <xf numFmtId="2" fontId="13" fillId="7" borderId="46" xfId="2" applyNumberFormat="1" applyFont="1" applyFill="1" applyBorder="1" applyAlignment="1">
      <alignment horizontal="center"/>
    </xf>
    <xf numFmtId="174" fontId="13" fillId="7" borderId="46" xfId="2" applyNumberFormat="1" applyFont="1" applyFill="1" applyBorder="1" applyAlignment="1">
      <alignment horizontal="center"/>
    </xf>
    <xf numFmtId="175" fontId="20" fillId="2" borderId="0" xfId="2" applyNumberFormat="1" applyFont="1" applyFill="1" applyAlignment="1">
      <alignment horizontal="center"/>
    </xf>
    <xf numFmtId="165" fontId="13" fillId="2" borderId="0" xfId="2" applyNumberFormat="1" applyFont="1" applyFill="1" applyAlignment="1">
      <alignment horizontal="center"/>
    </xf>
    <xf numFmtId="0" fontId="19" fillId="2" borderId="9" xfId="2" applyFont="1" applyFill="1" applyBorder="1" applyAlignment="1">
      <alignment horizontal="left" vertical="center" wrapText="1"/>
    </xf>
    <xf numFmtId="0" fontId="11" fillId="2" borderId="9" xfId="2" applyFont="1" applyFill="1" applyBorder="1"/>
    <xf numFmtId="0" fontId="11" fillId="2" borderId="10" xfId="2" applyFont="1" applyFill="1" applyBorder="1" applyAlignment="1">
      <alignment horizontal="center"/>
    </xf>
    <xf numFmtId="0" fontId="11" fillId="2" borderId="7" xfId="2" applyFont="1" applyFill="1" applyBorder="1"/>
    <xf numFmtId="0" fontId="12" fillId="2" borderId="11" xfId="2" applyFont="1" applyFill="1" applyBorder="1"/>
    <xf numFmtId="0" fontId="11" fillId="2" borderId="11" xfId="2" applyFont="1" applyFill="1" applyBorder="1"/>
    <xf numFmtId="0" fontId="1" fillId="2" borderId="0" xfId="3" applyFont="1" applyFill="1"/>
    <xf numFmtId="0" fontId="2" fillId="2" borderId="0" xfId="3" applyFont="1" applyFill="1"/>
    <xf numFmtId="0" fontId="2" fillId="2" borderId="0" xfId="3" applyFont="1" applyFill="1" applyAlignment="1">
      <alignment horizontal="right"/>
    </xf>
    <xf numFmtId="0" fontId="4" fillId="2" borderId="0" xfId="3" applyFont="1" applyFill="1"/>
    <xf numFmtId="0" fontId="4" fillId="2" borderId="0" xfId="3" applyFont="1" applyFill="1" applyAlignment="1">
      <alignment horizontal="left"/>
    </xf>
    <xf numFmtId="0" fontId="5" fillId="2" borderId="0" xfId="3" applyFont="1" applyFill="1" applyAlignment="1">
      <alignment horizontal="left"/>
    </xf>
    <xf numFmtId="0" fontId="5" fillId="2" borderId="0" xfId="3" applyFont="1" applyFill="1" applyAlignment="1">
      <alignment horizontal="center"/>
    </xf>
    <xf numFmtId="0" fontId="6" fillId="2" borderId="0" xfId="3" applyFont="1" applyFill="1"/>
    <xf numFmtId="0" fontId="5" fillId="2" borderId="0" xfId="3" applyFont="1" applyFill="1"/>
    <xf numFmtId="2" fontId="5" fillId="2" borderId="0" xfId="3" applyNumberFormat="1" applyFont="1" applyFill="1" applyAlignment="1">
      <alignment horizontal="center"/>
    </xf>
    <xf numFmtId="164" fontId="5" fillId="2" borderId="0" xfId="3" applyNumberFormat="1" applyFont="1" applyFill="1" applyAlignment="1">
      <alignment horizontal="center"/>
    </xf>
    <xf numFmtId="0" fontId="5" fillId="2" borderId="1" xfId="3" applyFont="1" applyFill="1" applyBorder="1" applyAlignment="1">
      <alignment horizontal="center"/>
    </xf>
    <xf numFmtId="0" fontId="5" fillId="2" borderId="2" xfId="3" applyFont="1" applyFill="1" applyBorder="1" applyAlignment="1">
      <alignment horizontal="center"/>
    </xf>
    <xf numFmtId="0" fontId="6" fillId="2" borderId="3" xfId="3" applyFont="1" applyFill="1" applyBorder="1" applyAlignment="1">
      <alignment horizontal="center"/>
    </xf>
    <xf numFmtId="0" fontId="7" fillId="3" borderId="3" xfId="3" applyFont="1" applyFill="1" applyBorder="1" applyAlignment="1" applyProtection="1">
      <alignment horizontal="center"/>
      <protection locked="0"/>
    </xf>
    <xf numFmtId="2" fontId="7" fillId="3" borderId="3" xfId="3" applyNumberFormat="1" applyFont="1" applyFill="1" applyBorder="1" applyAlignment="1" applyProtection="1">
      <alignment horizontal="center"/>
      <protection locked="0"/>
    </xf>
    <xf numFmtId="2" fontId="7" fillId="3" borderId="4" xfId="3" applyNumberFormat="1" applyFont="1" applyFill="1" applyBorder="1" applyAlignment="1" applyProtection="1">
      <alignment horizontal="center"/>
      <protection locked="0"/>
    </xf>
    <xf numFmtId="0" fontId="7" fillId="3" borderId="5" xfId="3" applyFont="1" applyFill="1" applyBorder="1" applyAlignment="1" applyProtection="1">
      <alignment horizontal="center"/>
      <protection locked="0"/>
    </xf>
    <xf numFmtId="2" fontId="7" fillId="3" borderId="5" xfId="3" applyNumberFormat="1" applyFont="1" applyFill="1" applyBorder="1" applyAlignment="1" applyProtection="1">
      <alignment horizontal="center"/>
      <protection locked="0"/>
    </xf>
    <xf numFmtId="0" fontId="6" fillId="2" borderId="4" xfId="3" applyFont="1" applyFill="1" applyBorder="1"/>
    <xf numFmtId="1" fontId="5" fillId="4" borderId="2" xfId="3" applyNumberFormat="1" applyFont="1" applyFill="1" applyBorder="1" applyAlignment="1">
      <alignment horizontal="center"/>
    </xf>
    <xf numFmtId="1" fontId="5" fillId="4" borderId="1" xfId="3" applyNumberFormat="1" applyFont="1" applyFill="1" applyBorder="1" applyAlignment="1">
      <alignment horizontal="center"/>
    </xf>
    <xf numFmtId="2" fontId="5" fillId="4" borderId="1" xfId="3" applyNumberFormat="1" applyFont="1" applyFill="1" applyBorder="1" applyAlignment="1">
      <alignment horizontal="center"/>
    </xf>
    <xf numFmtId="0" fontId="6" fillId="2" borderId="3" xfId="3" applyFont="1" applyFill="1" applyBorder="1"/>
    <xf numFmtId="10" fontId="5" fillId="5" borderId="1" xfId="3" applyNumberFormat="1" applyFont="1" applyFill="1" applyBorder="1" applyAlignment="1">
      <alignment horizontal="center"/>
    </xf>
    <xf numFmtId="165" fontId="5" fillId="2" borderId="0" xfId="3" applyNumberFormat="1" applyFont="1" applyFill="1" applyAlignment="1">
      <alignment horizontal="center"/>
    </xf>
    <xf numFmtId="0" fontId="6" fillId="2" borderId="6" xfId="3" applyFont="1" applyFill="1" applyBorder="1"/>
    <xf numFmtId="0" fontId="6" fillId="2" borderId="5" xfId="3" applyFont="1" applyFill="1" applyBorder="1"/>
    <xf numFmtId="0" fontId="5" fillId="4" borderId="1" xfId="3" applyFont="1" applyFill="1" applyBorder="1" applyAlignment="1">
      <alignment horizontal="center"/>
    </xf>
    <xf numFmtId="0" fontId="5" fillId="2" borderId="7" xfId="3" applyFont="1" applyFill="1" applyBorder="1" applyAlignment="1">
      <alignment horizontal="center"/>
    </xf>
    <xf numFmtId="0" fontId="6" fillId="2" borderId="7" xfId="3" applyFont="1" applyFill="1" applyBorder="1"/>
    <xf numFmtId="0" fontId="6" fillId="2" borderId="8" xfId="3" applyFont="1" applyFill="1" applyBorder="1"/>
    <xf numFmtId="0" fontId="6" fillId="2" borderId="0" xfId="3" applyFont="1" applyFill="1" applyAlignment="1" applyProtection="1">
      <alignment horizontal="left"/>
      <protection locked="0"/>
    </xf>
    <xf numFmtId="0" fontId="6" fillId="2" borderId="0" xfId="3" applyFont="1" applyFill="1" applyProtection="1">
      <protection locked="0"/>
    </xf>
    <xf numFmtId="0" fontId="2" fillId="2" borderId="9" xfId="3" applyFont="1" applyFill="1" applyBorder="1"/>
    <xf numFmtId="0" fontId="2" fillId="2" borderId="0" xfId="3" applyFont="1" applyFill="1" applyAlignment="1">
      <alignment horizontal="center"/>
    </xf>
    <xf numFmtId="10" fontId="2" fillId="2" borderId="9" xfId="3" applyNumberFormat="1" applyFont="1" applyFill="1" applyBorder="1"/>
    <xf numFmtId="0" fontId="25" fillId="2" borderId="0" xfId="3" applyFill="1"/>
    <xf numFmtId="0" fontId="1" fillId="2" borderId="10" xfId="3" applyFont="1" applyFill="1" applyBorder="1" applyAlignment="1">
      <alignment horizontal="center"/>
    </xf>
    <xf numFmtId="0" fontId="2" fillId="2" borderId="10" xfId="3" applyFont="1" applyFill="1" applyBorder="1" applyAlignment="1">
      <alignment horizontal="center"/>
    </xf>
    <xf numFmtId="0" fontId="1" fillId="2" borderId="0" xfId="3" applyFont="1" applyFill="1" applyAlignment="1">
      <alignment horizontal="right"/>
    </xf>
    <xf numFmtId="0" fontId="2" fillId="2" borderId="7" xfId="3" applyFont="1" applyFill="1" applyBorder="1"/>
    <xf numFmtId="0" fontId="1" fillId="2" borderId="11" xfId="3" applyFont="1" applyFill="1" applyBorder="1"/>
    <xf numFmtId="0" fontId="2" fillId="2" borderId="11" xfId="3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0" fontId="15" fillId="2" borderId="14" xfId="1" applyNumberFormat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left" vertical="center" wrapText="1"/>
    </xf>
    <xf numFmtId="0" fontId="19" fillId="2" borderId="10" xfId="1" applyFont="1" applyFill="1" applyBorder="1" applyAlignment="1">
      <alignment horizontal="left" vertical="center" wrapText="1"/>
    </xf>
    <xf numFmtId="0" fontId="19" fillId="2" borderId="43" xfId="1" applyFont="1" applyFill="1" applyBorder="1" applyAlignment="1">
      <alignment horizontal="lef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9" fillId="2" borderId="22" xfId="1" applyFont="1" applyFill="1" applyBorder="1" applyAlignment="1">
      <alignment horizontal="left" vertical="center" wrapText="1"/>
    </xf>
    <xf numFmtId="0" fontId="19" fillId="2" borderId="44" xfId="1" applyFont="1" applyFill="1" applyBorder="1" applyAlignment="1">
      <alignment horizontal="left" vertical="center" wrapText="1"/>
    </xf>
    <xf numFmtId="0" fontId="12" fillId="2" borderId="47" xfId="1" applyFont="1" applyFill="1" applyBorder="1" applyAlignment="1">
      <alignment horizontal="center" vertical="center"/>
    </xf>
    <xf numFmtId="0" fontId="12" fillId="2" borderId="55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3" fillId="3" borderId="0" xfId="1" applyFont="1" applyFill="1" applyAlignment="1" applyProtection="1">
      <alignment horizontal="left"/>
      <protection locked="0"/>
    </xf>
    <xf numFmtId="0" fontId="19" fillId="2" borderId="18" xfId="1" applyFont="1" applyFill="1" applyBorder="1" applyAlignment="1">
      <alignment horizontal="justify" vertical="center" wrapText="1"/>
    </xf>
    <xf numFmtId="0" fontId="19" fillId="2" borderId="19" xfId="1" applyFont="1" applyFill="1" applyBorder="1" applyAlignment="1">
      <alignment horizontal="justify" vertical="center" wrapText="1"/>
    </xf>
    <xf numFmtId="0" fontId="19" fillId="2" borderId="20" xfId="1" applyFont="1" applyFill="1" applyBorder="1" applyAlignment="1">
      <alignment horizontal="justify" vertical="center" wrapText="1"/>
    </xf>
    <xf numFmtId="0" fontId="19" fillId="2" borderId="18" xfId="1" applyFont="1" applyFill="1" applyBorder="1" applyAlignment="1">
      <alignment horizontal="left" vertical="center" wrapText="1"/>
    </xf>
    <xf numFmtId="0" fontId="19" fillId="2" borderId="19" xfId="1" applyFont="1" applyFill="1" applyBorder="1" applyAlignment="1">
      <alignment horizontal="left" vertical="center" wrapText="1"/>
    </xf>
    <xf numFmtId="0" fontId="19" fillId="2" borderId="20" xfId="1" applyFont="1" applyFill="1" applyBorder="1" applyAlignment="1">
      <alignment horizontal="left" vertical="center" wrapText="1"/>
    </xf>
    <xf numFmtId="0" fontId="12" fillId="2" borderId="47" xfId="1" applyFont="1" applyFill="1" applyBorder="1" applyAlignment="1">
      <alignment horizontal="center"/>
    </xf>
    <xf numFmtId="0" fontId="12" fillId="2" borderId="55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2" fontId="13" fillId="3" borderId="13" xfId="1" applyNumberFormat="1" applyFont="1" applyFill="1" applyBorder="1" applyAlignment="1" applyProtection="1">
      <alignment horizontal="center" vertical="center"/>
      <protection locked="0"/>
    </xf>
    <xf numFmtId="2" fontId="13" fillId="3" borderId="14" xfId="1" applyNumberFormat="1" applyFont="1" applyFill="1" applyBorder="1" applyAlignment="1" applyProtection="1">
      <alignment horizontal="center" vertical="center"/>
      <protection locked="0"/>
    </xf>
    <xf numFmtId="2" fontId="13" fillId="3" borderId="15" xfId="1" applyNumberFormat="1" applyFont="1" applyFill="1" applyBorder="1" applyAlignment="1" applyProtection="1">
      <alignment horizontal="center" vertical="center"/>
      <protection locked="0"/>
    </xf>
    <xf numFmtId="0" fontId="12" fillId="2" borderId="43" xfId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center" vertical="center" wrapText="1"/>
    </xf>
    <xf numFmtId="0" fontId="19" fillId="2" borderId="22" xfId="1" applyFont="1" applyFill="1" applyBorder="1" applyAlignment="1">
      <alignment horizontal="center" vertical="center" wrapText="1"/>
    </xf>
    <xf numFmtId="0" fontId="19" fillId="2" borderId="43" xfId="1" applyFont="1" applyFill="1" applyBorder="1" applyAlignment="1">
      <alignment horizontal="center" vertical="center" wrapText="1"/>
    </xf>
    <xf numFmtId="0" fontId="19" fillId="2" borderId="44" xfId="1" applyFont="1" applyFill="1" applyBorder="1" applyAlignment="1">
      <alignment horizontal="center" vertical="center" wrapText="1"/>
    </xf>
    <xf numFmtId="0" fontId="12" fillId="2" borderId="40" xfId="1" applyFont="1" applyFill="1" applyBorder="1" applyAlignment="1">
      <alignment horizontal="center"/>
    </xf>
    <xf numFmtId="0" fontId="14" fillId="3" borderId="0" xfId="1" applyFont="1" applyFill="1" applyAlignment="1" applyProtection="1">
      <alignment horizontal="left" wrapText="1"/>
      <protection locked="0"/>
    </xf>
    <xf numFmtId="0" fontId="13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/>
      <protection locked="0"/>
    </xf>
    <xf numFmtId="0" fontId="21" fillId="2" borderId="0" xfId="1" applyFont="1" applyFill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19" fillId="2" borderId="18" xfId="1" applyFont="1" applyFill="1" applyBorder="1" applyAlignment="1">
      <alignment horizontal="center"/>
    </xf>
    <xf numFmtId="0" fontId="19" fillId="2" borderId="19" xfId="1" applyFont="1" applyFill="1" applyBorder="1" applyAlignment="1">
      <alignment horizontal="center"/>
    </xf>
    <xf numFmtId="0" fontId="19" fillId="2" borderId="20" xfId="1" applyFont="1" applyFill="1" applyBorder="1" applyAlignment="1">
      <alignment horizontal="center"/>
    </xf>
    <xf numFmtId="0" fontId="23" fillId="2" borderId="10" xfId="1" applyFont="1" applyFill="1" applyBorder="1" applyAlignment="1">
      <alignment horizontal="center" vertical="center"/>
    </xf>
    <xf numFmtId="10" fontId="15" fillId="2" borderId="14" xfId="2" applyNumberFormat="1" applyFont="1" applyFill="1" applyBorder="1" applyAlignment="1">
      <alignment horizontal="center" vertical="center"/>
    </xf>
    <xf numFmtId="0" fontId="19" fillId="2" borderId="21" xfId="2" applyFont="1" applyFill="1" applyBorder="1" applyAlignment="1">
      <alignment horizontal="left" vertical="center" wrapText="1"/>
    </xf>
    <xf numFmtId="0" fontId="19" fillId="2" borderId="10" xfId="2" applyFont="1" applyFill="1" applyBorder="1" applyAlignment="1">
      <alignment horizontal="left" vertical="center" wrapText="1"/>
    </xf>
    <xf numFmtId="0" fontId="19" fillId="2" borderId="43" xfId="2" applyFont="1" applyFill="1" applyBorder="1" applyAlignment="1">
      <alignment horizontal="left" vertical="center" wrapText="1"/>
    </xf>
    <xf numFmtId="0" fontId="19" fillId="2" borderId="9" xfId="2" applyFont="1" applyFill="1" applyBorder="1" applyAlignment="1">
      <alignment horizontal="left" vertical="center" wrapText="1"/>
    </xf>
    <xf numFmtId="0" fontId="19" fillId="2" borderId="22" xfId="2" applyFont="1" applyFill="1" applyBorder="1" applyAlignment="1">
      <alignment horizontal="left" vertical="center" wrapText="1"/>
    </xf>
    <xf numFmtId="0" fontId="19" fillId="2" borderId="44" xfId="2" applyFont="1" applyFill="1" applyBorder="1" applyAlignment="1">
      <alignment horizontal="left" vertical="center" wrapText="1"/>
    </xf>
    <xf numFmtId="0" fontId="12" fillId="2" borderId="47" xfId="2" applyFont="1" applyFill="1" applyBorder="1" applyAlignment="1">
      <alignment horizontal="center" vertical="center"/>
    </xf>
    <xf numFmtId="0" fontId="12" fillId="2" borderId="55" xfId="2" applyFont="1" applyFill="1" applyBorder="1" applyAlignment="1">
      <alignment horizontal="center" vertical="center"/>
    </xf>
    <xf numFmtId="0" fontId="12" fillId="2" borderId="0" xfId="2" applyFont="1" applyFill="1" applyAlignment="1">
      <alignment horizontal="center"/>
    </xf>
    <xf numFmtId="0" fontId="12" fillId="2" borderId="10" xfId="2" applyFont="1" applyFill="1" applyBorder="1" applyAlignment="1">
      <alignment horizontal="center"/>
    </xf>
    <xf numFmtId="0" fontId="13" fillId="3" borderId="0" xfId="2" applyFont="1" applyFill="1" applyAlignment="1" applyProtection="1">
      <alignment horizontal="left"/>
      <protection locked="0"/>
    </xf>
    <xf numFmtId="0" fontId="19" fillId="2" borderId="18" xfId="2" applyFont="1" applyFill="1" applyBorder="1" applyAlignment="1">
      <alignment horizontal="justify" vertical="center" wrapText="1"/>
    </xf>
    <xf numFmtId="0" fontId="19" fillId="2" borderId="19" xfId="2" applyFont="1" applyFill="1" applyBorder="1" applyAlignment="1">
      <alignment horizontal="justify" vertical="center" wrapText="1"/>
    </xf>
    <xf numFmtId="0" fontId="19" fillId="2" borderId="20" xfId="2" applyFont="1" applyFill="1" applyBorder="1" applyAlignment="1">
      <alignment horizontal="justify" vertical="center" wrapText="1"/>
    </xf>
    <xf numFmtId="0" fontId="19" fillId="2" borderId="18" xfId="2" applyFont="1" applyFill="1" applyBorder="1" applyAlignment="1">
      <alignment horizontal="left" vertical="center" wrapText="1"/>
    </xf>
    <xf numFmtId="0" fontId="19" fillId="2" borderId="19" xfId="2" applyFont="1" applyFill="1" applyBorder="1" applyAlignment="1">
      <alignment horizontal="left" vertical="center" wrapText="1"/>
    </xf>
    <xf numFmtId="0" fontId="19" fillId="2" borderId="20" xfId="2" applyFont="1" applyFill="1" applyBorder="1" applyAlignment="1">
      <alignment horizontal="left" vertical="center" wrapText="1"/>
    </xf>
    <xf numFmtId="0" fontId="12" fillId="2" borderId="47" xfId="2" applyFont="1" applyFill="1" applyBorder="1" applyAlignment="1">
      <alignment horizontal="center"/>
    </xf>
    <xf numFmtId="0" fontId="12" fillId="2" borderId="55" xfId="2" applyFont="1" applyFill="1" applyBorder="1" applyAlignment="1">
      <alignment horizontal="center"/>
    </xf>
    <xf numFmtId="0" fontId="12" fillId="2" borderId="10" xfId="2" applyFont="1" applyFill="1" applyBorder="1" applyAlignment="1">
      <alignment horizontal="center" vertical="center"/>
    </xf>
    <xf numFmtId="0" fontId="12" fillId="2" borderId="0" xfId="2" applyFont="1" applyFill="1" applyAlignment="1">
      <alignment horizontal="center" vertical="center"/>
    </xf>
    <xf numFmtId="0" fontId="12" fillId="2" borderId="9" xfId="2" applyFont="1" applyFill="1" applyBorder="1" applyAlignment="1">
      <alignment horizontal="center" vertical="center"/>
    </xf>
    <xf numFmtId="2" fontId="13" fillId="3" borderId="13" xfId="2" applyNumberFormat="1" applyFont="1" applyFill="1" applyBorder="1" applyAlignment="1" applyProtection="1">
      <alignment horizontal="center" vertical="center"/>
      <protection locked="0"/>
    </xf>
    <xf numFmtId="2" fontId="13" fillId="3" borderId="14" xfId="2" applyNumberFormat="1" applyFont="1" applyFill="1" applyBorder="1" applyAlignment="1" applyProtection="1">
      <alignment horizontal="center" vertical="center"/>
      <protection locked="0"/>
    </xf>
    <xf numFmtId="2" fontId="13" fillId="3" borderId="15" xfId="2" applyNumberFormat="1" applyFont="1" applyFill="1" applyBorder="1" applyAlignment="1" applyProtection="1">
      <alignment horizontal="center" vertical="center"/>
      <protection locked="0"/>
    </xf>
    <xf numFmtId="0" fontId="12" fillId="2" borderId="43" xfId="2" applyFont="1" applyFill="1" applyBorder="1" applyAlignment="1">
      <alignment horizontal="center" vertical="center"/>
    </xf>
    <xf numFmtId="0" fontId="19" fillId="2" borderId="21" xfId="2" applyFont="1" applyFill="1" applyBorder="1" applyAlignment="1">
      <alignment horizontal="center" vertical="center" wrapText="1"/>
    </xf>
    <xf numFmtId="0" fontId="19" fillId="2" borderId="22" xfId="2" applyFont="1" applyFill="1" applyBorder="1" applyAlignment="1">
      <alignment horizontal="center" vertical="center" wrapText="1"/>
    </xf>
    <xf numFmtId="0" fontId="19" fillId="2" borderId="43" xfId="2" applyFont="1" applyFill="1" applyBorder="1" applyAlignment="1">
      <alignment horizontal="center" vertical="center" wrapText="1"/>
    </xf>
    <xf numFmtId="0" fontId="19" fillId="2" borderId="44" xfId="2" applyFont="1" applyFill="1" applyBorder="1" applyAlignment="1">
      <alignment horizontal="center" vertical="center" wrapText="1"/>
    </xf>
    <xf numFmtId="0" fontId="12" fillId="2" borderId="40" xfId="2" applyFont="1" applyFill="1" applyBorder="1" applyAlignment="1">
      <alignment horizontal="center"/>
    </xf>
    <xf numFmtId="0" fontId="14" fillId="3" borderId="0" xfId="2" applyFont="1" applyFill="1" applyAlignment="1" applyProtection="1">
      <alignment horizontal="left" wrapText="1"/>
      <protection locked="0"/>
    </xf>
    <xf numFmtId="0" fontId="13" fillId="3" borderId="0" xfId="2" applyFont="1" applyFill="1" applyAlignment="1" applyProtection="1">
      <alignment horizontal="left" wrapText="1"/>
      <protection locked="0"/>
    </xf>
    <xf numFmtId="0" fontId="14" fillId="3" borderId="0" xfId="2" applyFont="1" applyFill="1" applyAlignment="1" applyProtection="1">
      <alignment horizontal="left"/>
      <protection locked="0"/>
    </xf>
    <xf numFmtId="0" fontId="21" fillId="2" borderId="0" xfId="2" applyFont="1" applyFill="1" applyAlignment="1">
      <alignment horizontal="center" vertical="center"/>
    </xf>
    <xf numFmtId="0" fontId="22" fillId="2" borderId="0" xfId="2" applyFont="1" applyFill="1" applyAlignment="1">
      <alignment horizontal="center" vertical="center"/>
    </xf>
    <xf numFmtId="0" fontId="19" fillId="2" borderId="18" xfId="2" applyFont="1" applyFill="1" applyBorder="1" applyAlignment="1">
      <alignment horizontal="center"/>
    </xf>
    <xf numFmtId="0" fontId="19" fillId="2" borderId="19" xfId="2" applyFont="1" applyFill="1" applyBorder="1" applyAlignment="1">
      <alignment horizontal="center"/>
    </xf>
    <xf numFmtId="0" fontId="19" fillId="2" borderId="20" xfId="2" applyFont="1" applyFill="1" applyBorder="1" applyAlignment="1">
      <alignment horizontal="center"/>
    </xf>
    <xf numFmtId="0" fontId="23" fillId="2" borderId="10" xfId="2" applyFont="1" applyFill="1" applyBorder="1" applyAlignment="1">
      <alignment horizontal="center" vertical="center"/>
    </xf>
    <xf numFmtId="0" fontId="3" fillId="2" borderId="0" xfId="3" applyFont="1" applyFill="1" applyAlignment="1">
      <alignment horizontal="center"/>
    </xf>
    <xf numFmtId="0" fontId="1" fillId="2" borderId="10" xfId="3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176" fontId="13" fillId="3" borderId="0" xfId="2" applyNumberFormat="1" applyFont="1" applyFill="1" applyAlignment="1" applyProtection="1">
      <alignment horizontal="center"/>
      <protection locked="0"/>
    </xf>
  </cellXfs>
  <cellStyles count="4">
    <cellStyle name="Normal" xfId="0" builtinId="0"/>
    <cellStyle name="Normal 2" xfId="1"/>
    <cellStyle name="Normal 3" xfId="2"/>
    <cellStyle name="Normal 4" xfId="3"/>
  </cellStyles>
  <dxfs count="39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4:I61"/>
  <sheetViews>
    <sheetView topLeftCell="A15" workbookViewId="0">
      <selection activeCell="A15" sqref="A15:H63"/>
    </sheetView>
  </sheetViews>
  <sheetFormatPr defaultRowHeight="13.5"/>
  <cols>
    <col min="1" max="1" width="27.5703125" style="49" customWidth="1"/>
    <col min="2" max="2" width="20.42578125" style="49" customWidth="1"/>
    <col min="3" max="3" width="31.85546875" style="49" customWidth="1"/>
    <col min="4" max="4" width="25.85546875" style="49" customWidth="1"/>
    <col min="5" max="5" width="25.7109375" style="49" customWidth="1"/>
    <col min="6" max="6" width="23.140625" style="49" customWidth="1"/>
    <col min="7" max="7" width="28.42578125" style="49" customWidth="1"/>
    <col min="8" max="8" width="21.5703125" style="49" customWidth="1"/>
    <col min="9" max="9" width="9.140625" style="49" customWidth="1"/>
    <col min="10" max="16384" width="9.140625" style="85"/>
  </cols>
  <sheetData>
    <row r="14" spans="1:6" ht="15" customHeight="1">
      <c r="A14" s="48"/>
      <c r="C14" s="50"/>
      <c r="F14" s="50"/>
    </row>
    <row r="15" spans="1:6" ht="18.75" customHeight="1">
      <c r="A15" s="464" t="s">
        <v>136</v>
      </c>
      <c r="B15" s="464"/>
      <c r="C15" s="464"/>
      <c r="D15" s="464"/>
      <c r="E15" s="464"/>
    </row>
    <row r="16" spans="1:6" ht="16.5" customHeight="1">
      <c r="A16" s="51" t="s">
        <v>1</v>
      </c>
      <c r="B16" s="52" t="s">
        <v>2</v>
      </c>
    </row>
    <row r="17" spans="1:5" ht="16.5" customHeight="1">
      <c r="A17" s="53" t="s">
        <v>3</v>
      </c>
      <c r="B17" s="53" t="s">
        <v>5</v>
      </c>
      <c r="D17" s="54"/>
      <c r="E17" s="55"/>
    </row>
    <row r="18" spans="1:5" ht="16.5" customHeight="1">
      <c r="A18" s="56" t="s">
        <v>4</v>
      </c>
      <c r="B18" s="49" t="s">
        <v>131</v>
      </c>
      <c r="C18" s="55"/>
      <c r="D18" s="55"/>
      <c r="E18" s="55"/>
    </row>
    <row r="19" spans="1:5" ht="16.5" customHeight="1">
      <c r="A19" s="56" t="s">
        <v>6</v>
      </c>
      <c r="B19" s="57">
        <v>99.02</v>
      </c>
      <c r="C19" s="55"/>
      <c r="D19" s="55"/>
      <c r="E19" s="55"/>
    </row>
    <row r="20" spans="1:5" ht="16.5" customHeight="1">
      <c r="A20" s="53" t="s">
        <v>8</v>
      </c>
      <c r="B20" s="57">
        <v>17.68</v>
      </c>
      <c r="C20" s="55"/>
      <c r="D20" s="55"/>
      <c r="E20" s="55"/>
    </row>
    <row r="21" spans="1:5" ht="16.5" customHeight="1">
      <c r="A21" s="53" t="s">
        <v>10</v>
      </c>
      <c r="B21" s="58">
        <f>B20/100</f>
        <v>0.17679999999999998</v>
      </c>
      <c r="C21" s="55"/>
      <c r="D21" s="55"/>
      <c r="E21" s="55"/>
    </row>
    <row r="22" spans="1:5" ht="15.75" customHeight="1">
      <c r="A22" s="55"/>
      <c r="B22" s="55" t="s">
        <v>132</v>
      </c>
      <c r="C22" s="55"/>
      <c r="D22" s="55"/>
      <c r="E22" s="55"/>
    </row>
    <row r="23" spans="1:5" ht="16.5" customHeight="1">
      <c r="A23" s="59" t="s">
        <v>13</v>
      </c>
      <c r="B23" s="60" t="s">
        <v>14</v>
      </c>
      <c r="C23" s="59" t="s">
        <v>15</v>
      </c>
      <c r="D23" s="59" t="s">
        <v>16</v>
      </c>
      <c r="E23" s="59" t="s">
        <v>17</v>
      </c>
    </row>
    <row r="24" spans="1:5" ht="16.5" customHeight="1">
      <c r="A24" s="61">
        <v>1</v>
      </c>
      <c r="B24" s="62">
        <v>43336450</v>
      </c>
      <c r="C24" s="62">
        <v>8250.2000000000007</v>
      </c>
      <c r="D24" s="63">
        <v>1</v>
      </c>
      <c r="E24" s="64">
        <v>9.6</v>
      </c>
    </row>
    <row r="25" spans="1:5" ht="16.5" customHeight="1">
      <c r="A25" s="61">
        <v>2</v>
      </c>
      <c r="B25" s="62">
        <v>43461997</v>
      </c>
      <c r="C25" s="62">
        <v>8189.3</v>
      </c>
      <c r="D25" s="63">
        <v>1</v>
      </c>
      <c r="E25" s="63">
        <v>9.6</v>
      </c>
    </row>
    <row r="26" spans="1:5" ht="16.5" customHeight="1">
      <c r="A26" s="61">
        <v>3</v>
      </c>
      <c r="B26" s="62">
        <v>43389366</v>
      </c>
      <c r="C26" s="62">
        <v>8148.8</v>
      </c>
      <c r="D26" s="63">
        <v>1</v>
      </c>
      <c r="E26" s="63">
        <v>9.6</v>
      </c>
    </row>
    <row r="27" spans="1:5" ht="16.5" customHeight="1">
      <c r="A27" s="61">
        <v>4</v>
      </c>
      <c r="B27" s="62">
        <v>43635344</v>
      </c>
      <c r="C27" s="62">
        <v>8184.2</v>
      </c>
      <c r="D27" s="63">
        <v>1</v>
      </c>
      <c r="E27" s="63">
        <v>9.6</v>
      </c>
    </row>
    <row r="28" spans="1:5" ht="16.5" customHeight="1">
      <c r="A28" s="61">
        <v>5</v>
      </c>
      <c r="B28" s="62">
        <v>43608668</v>
      </c>
      <c r="C28" s="62">
        <v>8136.6</v>
      </c>
      <c r="D28" s="63">
        <v>1</v>
      </c>
      <c r="E28" s="63">
        <v>9.6</v>
      </c>
    </row>
    <row r="29" spans="1:5" ht="16.5" customHeight="1">
      <c r="A29" s="61">
        <v>6</v>
      </c>
      <c r="B29" s="65">
        <v>43366565</v>
      </c>
      <c r="C29" s="65">
        <v>8171.2</v>
      </c>
      <c r="D29" s="66">
        <v>1</v>
      </c>
      <c r="E29" s="66">
        <v>9.6</v>
      </c>
    </row>
    <row r="30" spans="1:5" ht="16.5" customHeight="1">
      <c r="A30" s="67" t="s">
        <v>18</v>
      </c>
      <c r="B30" s="68">
        <f>AVERAGE(B24:B29)</f>
        <v>43466398.333333336</v>
      </c>
      <c r="C30" s="69">
        <f>AVERAGE(C24:C29)</f>
        <v>8180.0499999999993</v>
      </c>
      <c r="D30" s="70">
        <f>AVERAGE(D24:D29)</f>
        <v>1</v>
      </c>
      <c r="E30" s="70">
        <f>AVERAGE(E24:E29)</f>
        <v>9.6</v>
      </c>
    </row>
    <row r="31" spans="1:5" ht="16.5" customHeight="1">
      <c r="A31" s="71" t="s">
        <v>19</v>
      </c>
      <c r="B31" s="72">
        <f>(STDEV(B24:B29)/B30)</f>
        <v>2.9388645834426282E-3</v>
      </c>
      <c r="C31" s="73"/>
      <c r="D31" s="73"/>
      <c r="E31" s="74"/>
    </row>
    <row r="32" spans="1:5" s="49" customFormat="1" ht="16.5" customHeight="1">
      <c r="A32" s="75" t="s">
        <v>20</v>
      </c>
      <c r="B32" s="76">
        <f>COUNT(B24:B29)</f>
        <v>6</v>
      </c>
      <c r="C32" s="77"/>
      <c r="D32" s="78"/>
      <c r="E32" s="79"/>
    </row>
    <row r="33" spans="1:5" s="49" customFormat="1" ht="15.75" customHeight="1">
      <c r="A33" s="55"/>
      <c r="B33" s="55"/>
      <c r="C33" s="55"/>
      <c r="D33" s="55"/>
      <c r="E33" s="55"/>
    </row>
    <row r="34" spans="1:5" s="49" customFormat="1" ht="16.5" customHeight="1">
      <c r="A34" s="56" t="s">
        <v>21</v>
      </c>
      <c r="B34" s="80" t="s">
        <v>22</v>
      </c>
      <c r="C34" s="81"/>
      <c r="D34" s="81"/>
      <c r="E34" s="81"/>
    </row>
    <row r="35" spans="1:5" ht="16.5" customHeight="1">
      <c r="A35" s="56"/>
      <c r="B35" s="80" t="s">
        <v>23</v>
      </c>
      <c r="C35" s="81"/>
      <c r="D35" s="81"/>
      <c r="E35" s="81"/>
    </row>
    <row r="36" spans="1:5" ht="16.5" customHeight="1">
      <c r="A36" s="56"/>
      <c r="B36" s="80" t="s">
        <v>24</v>
      </c>
      <c r="C36" s="81"/>
      <c r="D36" s="81"/>
      <c r="E36" s="81"/>
    </row>
    <row r="37" spans="1:5" ht="15.75" customHeight="1">
      <c r="A37" s="55"/>
      <c r="B37" s="55"/>
      <c r="C37" s="55"/>
      <c r="D37" s="55"/>
      <c r="E37" s="55"/>
    </row>
    <row r="38" spans="1:5" ht="16.5" customHeight="1">
      <c r="A38" s="51" t="s">
        <v>1</v>
      </c>
      <c r="B38" s="52" t="s">
        <v>25</v>
      </c>
    </row>
    <row r="39" spans="1:5" ht="16.5" customHeight="1">
      <c r="A39" s="56" t="s">
        <v>4</v>
      </c>
      <c r="B39" s="53" t="s">
        <v>131</v>
      </c>
      <c r="C39" s="55"/>
      <c r="D39" s="55"/>
      <c r="E39" s="55"/>
    </row>
    <row r="40" spans="1:5" ht="16.5" customHeight="1">
      <c r="A40" s="56" t="s">
        <v>6</v>
      </c>
      <c r="B40" s="57">
        <v>99.02</v>
      </c>
      <c r="C40" s="55"/>
      <c r="D40" s="55"/>
      <c r="E40" s="55"/>
    </row>
    <row r="41" spans="1:5" ht="16.5" customHeight="1">
      <c r="A41" s="53" t="s">
        <v>8</v>
      </c>
      <c r="B41" s="57">
        <v>17.68</v>
      </c>
      <c r="C41" s="55"/>
      <c r="D41" s="55"/>
      <c r="E41" s="55"/>
    </row>
    <row r="42" spans="1:5" ht="16.5" customHeight="1">
      <c r="A42" s="53" t="s">
        <v>10</v>
      </c>
      <c r="B42" s="58">
        <v>0.17679999999999998</v>
      </c>
      <c r="C42" s="55"/>
      <c r="D42" s="55"/>
      <c r="E42" s="55"/>
    </row>
    <row r="43" spans="1:5" ht="15.75" customHeight="1">
      <c r="A43" s="55"/>
      <c r="B43" s="55"/>
      <c r="C43" s="55"/>
      <c r="D43" s="55"/>
      <c r="E43" s="55"/>
    </row>
    <row r="44" spans="1:5" ht="16.5" customHeight="1">
      <c r="A44" s="59" t="s">
        <v>13</v>
      </c>
      <c r="B44" s="60" t="s">
        <v>14</v>
      </c>
      <c r="C44" s="59" t="s">
        <v>15</v>
      </c>
      <c r="D44" s="59" t="s">
        <v>16</v>
      </c>
      <c r="E44" s="59" t="s">
        <v>17</v>
      </c>
    </row>
    <row r="45" spans="1:5" ht="16.5" customHeight="1">
      <c r="A45" s="61">
        <v>1</v>
      </c>
      <c r="B45" s="62">
        <v>43336450</v>
      </c>
      <c r="C45" s="62">
        <v>8250.2000000000007</v>
      </c>
      <c r="D45" s="63">
        <v>1</v>
      </c>
      <c r="E45" s="64">
        <v>9.6</v>
      </c>
    </row>
    <row r="46" spans="1:5" ht="16.5" customHeight="1">
      <c r="A46" s="61">
        <v>2</v>
      </c>
      <c r="B46" s="62">
        <v>43461997</v>
      </c>
      <c r="C46" s="62">
        <v>8189.3</v>
      </c>
      <c r="D46" s="63">
        <v>1</v>
      </c>
      <c r="E46" s="63">
        <v>9.6</v>
      </c>
    </row>
    <row r="47" spans="1:5" ht="16.5" customHeight="1">
      <c r="A47" s="61">
        <v>3</v>
      </c>
      <c r="B47" s="62">
        <v>43389366</v>
      </c>
      <c r="C47" s="62">
        <v>8148.8</v>
      </c>
      <c r="D47" s="63">
        <v>1</v>
      </c>
      <c r="E47" s="63">
        <v>9.6</v>
      </c>
    </row>
    <row r="48" spans="1:5" ht="16.5" customHeight="1">
      <c r="A48" s="61">
        <v>4</v>
      </c>
      <c r="B48" s="62">
        <v>43635344</v>
      </c>
      <c r="C48" s="62">
        <v>8184.2</v>
      </c>
      <c r="D48" s="63">
        <v>1</v>
      </c>
      <c r="E48" s="63">
        <v>9.6</v>
      </c>
    </row>
    <row r="49" spans="1:7" ht="16.5" customHeight="1">
      <c r="A49" s="61">
        <v>5</v>
      </c>
      <c r="B49" s="62">
        <v>43608668</v>
      </c>
      <c r="C49" s="62">
        <v>8136.6</v>
      </c>
      <c r="D49" s="63">
        <v>1</v>
      </c>
      <c r="E49" s="63">
        <v>9.6</v>
      </c>
    </row>
    <row r="50" spans="1:7" ht="16.5" customHeight="1">
      <c r="A50" s="61">
        <v>6</v>
      </c>
      <c r="B50" s="65">
        <v>43366565</v>
      </c>
      <c r="C50" s="65">
        <v>8171.2</v>
      </c>
      <c r="D50" s="66">
        <v>1</v>
      </c>
      <c r="E50" s="66">
        <v>9.6</v>
      </c>
    </row>
    <row r="51" spans="1:7" ht="16.5" customHeight="1">
      <c r="A51" s="67" t="s">
        <v>18</v>
      </c>
      <c r="B51" s="68">
        <f>AVERAGE(B45:B50)</f>
        <v>43466398.333333336</v>
      </c>
      <c r="C51" s="69">
        <f>AVERAGE(C45:C50)</f>
        <v>8180.0499999999993</v>
      </c>
      <c r="D51" s="70">
        <f>AVERAGE(D45:D50)</f>
        <v>1</v>
      </c>
      <c r="E51" s="70">
        <f>AVERAGE(E45:E50)</f>
        <v>9.6</v>
      </c>
    </row>
    <row r="52" spans="1:7" ht="16.5" customHeight="1">
      <c r="A52" s="71" t="s">
        <v>19</v>
      </c>
      <c r="B52" s="72">
        <f>(STDEV(B45:B50)/B51)</f>
        <v>2.9388645834426282E-3</v>
      </c>
      <c r="C52" s="73"/>
      <c r="D52" s="73"/>
      <c r="E52" s="74"/>
    </row>
    <row r="53" spans="1:7" s="49" customFormat="1" ht="16.5" customHeight="1">
      <c r="A53" s="75" t="s">
        <v>20</v>
      </c>
      <c r="B53" s="76">
        <f>COUNT(B45:B50)</f>
        <v>6</v>
      </c>
      <c r="C53" s="77"/>
      <c r="D53" s="78"/>
      <c r="E53" s="79"/>
    </row>
    <row r="54" spans="1:7" s="49" customFormat="1" ht="15.75" customHeight="1">
      <c r="A54" s="55"/>
      <c r="B54" s="55"/>
      <c r="C54" s="55"/>
      <c r="D54" s="55"/>
      <c r="E54" s="55"/>
    </row>
    <row r="55" spans="1:7" s="49" customFormat="1" ht="16.5" customHeight="1">
      <c r="A55" s="56" t="s">
        <v>21</v>
      </c>
      <c r="B55" s="80" t="s">
        <v>22</v>
      </c>
      <c r="C55" s="81"/>
      <c r="D55" s="81"/>
      <c r="E55" s="81"/>
    </row>
    <row r="56" spans="1:7" ht="16.5" customHeight="1">
      <c r="A56" s="56"/>
      <c r="B56" s="80" t="s">
        <v>23</v>
      </c>
      <c r="C56" s="81"/>
      <c r="D56" s="81"/>
      <c r="E56" s="81"/>
    </row>
    <row r="57" spans="1:7" ht="16.5" customHeight="1">
      <c r="A57" s="56"/>
      <c r="B57" s="80" t="s">
        <v>24</v>
      </c>
      <c r="C57" s="81"/>
      <c r="D57" s="81"/>
      <c r="E57" s="81"/>
    </row>
    <row r="58" spans="1:7" ht="14.25" customHeight="1" thickBot="1">
      <c r="A58" s="82"/>
      <c r="B58" s="83"/>
      <c r="D58" s="84"/>
      <c r="F58" s="85"/>
      <c r="G58" s="85"/>
    </row>
    <row r="59" spans="1:7" ht="15" customHeight="1">
      <c r="B59" s="465" t="s">
        <v>26</v>
      </c>
      <c r="C59" s="465"/>
      <c r="E59" s="86" t="s">
        <v>27</v>
      </c>
      <c r="F59" s="87"/>
      <c r="G59" s="86" t="s">
        <v>28</v>
      </c>
    </row>
    <row r="60" spans="1:7" ht="15" customHeight="1">
      <c r="A60" s="88" t="s">
        <v>29</v>
      </c>
      <c r="B60" s="89"/>
      <c r="C60" s="89"/>
      <c r="E60" s="89"/>
      <c r="G60" s="89"/>
    </row>
    <row r="61" spans="1:7" ht="15" customHeight="1">
      <c r="A61" s="88" t="s">
        <v>30</v>
      </c>
      <c r="B61" s="90"/>
      <c r="C61" s="90"/>
      <c r="E61" s="90"/>
      <c r="G61" s="9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50"/>
  <sheetViews>
    <sheetView view="pageBreakPreview" topLeftCell="A100" zoomScale="55" zoomScaleNormal="40" zoomScaleSheetLayoutView="55" zoomScalePageLayoutView="10" workbookViewId="0">
      <selection activeCell="B20" sqref="B20:C20"/>
    </sheetView>
  </sheetViews>
  <sheetFormatPr defaultColWidth="9.140625" defaultRowHeight="13.5"/>
  <cols>
    <col min="1" max="1" width="55.42578125" style="49" customWidth="1"/>
    <col min="2" max="2" width="33.7109375" style="49" customWidth="1"/>
    <col min="3" max="3" width="42.28515625" style="49" customWidth="1"/>
    <col min="4" max="4" width="30.5703125" style="49" customWidth="1"/>
    <col min="5" max="5" width="39.85546875" style="49" customWidth="1"/>
    <col min="6" max="6" width="30.7109375" style="49" customWidth="1"/>
    <col min="7" max="7" width="39.85546875" style="49" customWidth="1"/>
    <col min="8" max="8" width="30" style="49" customWidth="1"/>
    <col min="9" max="9" width="30.28515625" style="49" hidden="1" customWidth="1"/>
    <col min="10" max="10" width="30.42578125" style="49" customWidth="1"/>
    <col min="11" max="11" width="21.28515625" style="49" customWidth="1"/>
    <col min="12" max="12" width="9.140625" style="49"/>
    <col min="13" max="16384" width="9.140625" style="85"/>
  </cols>
  <sheetData>
    <row r="1" spans="1:9" ht="18.75" customHeight="1">
      <c r="A1" s="501" t="s">
        <v>45</v>
      </c>
      <c r="B1" s="501"/>
      <c r="C1" s="501"/>
      <c r="D1" s="501"/>
      <c r="E1" s="501"/>
      <c r="F1" s="501"/>
      <c r="G1" s="501"/>
      <c r="H1" s="501"/>
      <c r="I1" s="501"/>
    </row>
    <row r="2" spans="1:9" ht="18.75" customHeight="1">
      <c r="A2" s="501"/>
      <c r="B2" s="501"/>
      <c r="C2" s="501"/>
      <c r="D2" s="501"/>
      <c r="E2" s="501"/>
      <c r="F2" s="501"/>
      <c r="G2" s="501"/>
      <c r="H2" s="501"/>
      <c r="I2" s="501"/>
    </row>
    <row r="3" spans="1:9" ht="18.75" customHeight="1">
      <c r="A3" s="501"/>
      <c r="B3" s="501"/>
      <c r="C3" s="501"/>
      <c r="D3" s="501"/>
      <c r="E3" s="501"/>
      <c r="F3" s="501"/>
      <c r="G3" s="501"/>
      <c r="H3" s="501"/>
      <c r="I3" s="501"/>
    </row>
    <row r="4" spans="1:9" ht="18.75" customHeight="1">
      <c r="A4" s="501"/>
      <c r="B4" s="501"/>
      <c r="C4" s="501"/>
      <c r="D4" s="501"/>
      <c r="E4" s="501"/>
      <c r="F4" s="501"/>
      <c r="G4" s="501"/>
      <c r="H4" s="501"/>
      <c r="I4" s="501"/>
    </row>
    <row r="5" spans="1:9" ht="18.75" customHeight="1">
      <c r="A5" s="501"/>
      <c r="B5" s="501"/>
      <c r="C5" s="501"/>
      <c r="D5" s="501"/>
      <c r="E5" s="501"/>
      <c r="F5" s="501"/>
      <c r="G5" s="501"/>
      <c r="H5" s="501"/>
      <c r="I5" s="501"/>
    </row>
    <row r="6" spans="1:9" ht="18.75" customHeight="1">
      <c r="A6" s="501"/>
      <c r="B6" s="501"/>
      <c r="C6" s="501"/>
      <c r="D6" s="501"/>
      <c r="E6" s="501"/>
      <c r="F6" s="501"/>
      <c r="G6" s="501"/>
      <c r="H6" s="501"/>
      <c r="I6" s="501"/>
    </row>
    <row r="7" spans="1:9" ht="18.75" customHeight="1">
      <c r="A7" s="501"/>
      <c r="B7" s="501"/>
      <c r="C7" s="501"/>
      <c r="D7" s="501"/>
      <c r="E7" s="501"/>
      <c r="F7" s="501"/>
      <c r="G7" s="501"/>
      <c r="H7" s="501"/>
      <c r="I7" s="501"/>
    </row>
    <row r="8" spans="1:9">
      <c r="A8" s="502" t="s">
        <v>46</v>
      </c>
      <c r="B8" s="502"/>
      <c r="C8" s="502"/>
      <c r="D8" s="502"/>
      <c r="E8" s="502"/>
      <c r="F8" s="502"/>
      <c r="G8" s="502"/>
      <c r="H8" s="502"/>
      <c r="I8" s="502"/>
    </row>
    <row r="9" spans="1:9">
      <c r="A9" s="502"/>
      <c r="B9" s="502"/>
      <c r="C9" s="502"/>
      <c r="D9" s="502"/>
      <c r="E9" s="502"/>
      <c r="F9" s="502"/>
      <c r="G9" s="502"/>
      <c r="H9" s="502"/>
      <c r="I9" s="502"/>
    </row>
    <row r="10" spans="1:9">
      <c r="A10" s="502"/>
      <c r="B10" s="502"/>
      <c r="C10" s="502"/>
      <c r="D10" s="502"/>
      <c r="E10" s="502"/>
      <c r="F10" s="502"/>
      <c r="G10" s="502"/>
      <c r="H10" s="502"/>
      <c r="I10" s="502"/>
    </row>
    <row r="11" spans="1:9">
      <c r="A11" s="502"/>
      <c r="B11" s="502"/>
      <c r="C11" s="502"/>
      <c r="D11" s="502"/>
      <c r="E11" s="502"/>
      <c r="F11" s="502"/>
      <c r="G11" s="502"/>
      <c r="H11" s="502"/>
      <c r="I11" s="502"/>
    </row>
    <row r="12" spans="1:9">
      <c r="A12" s="502"/>
      <c r="B12" s="502"/>
      <c r="C12" s="502"/>
      <c r="D12" s="502"/>
      <c r="E12" s="502"/>
      <c r="F12" s="502"/>
      <c r="G12" s="502"/>
      <c r="H12" s="502"/>
      <c r="I12" s="502"/>
    </row>
    <row r="13" spans="1:9">
      <c r="A13" s="502"/>
      <c r="B13" s="502"/>
      <c r="C13" s="502"/>
      <c r="D13" s="502"/>
      <c r="E13" s="502"/>
      <c r="F13" s="502"/>
      <c r="G13" s="502"/>
      <c r="H13" s="502"/>
      <c r="I13" s="502"/>
    </row>
    <row r="14" spans="1:9">
      <c r="A14" s="502"/>
      <c r="B14" s="502"/>
      <c r="C14" s="502"/>
      <c r="D14" s="502"/>
      <c r="E14" s="502"/>
      <c r="F14" s="502"/>
      <c r="G14" s="502"/>
      <c r="H14" s="502"/>
      <c r="I14" s="502"/>
    </row>
    <row r="15" spans="1:9" ht="19.5" customHeight="1" thickBot="1">
      <c r="A15" s="92"/>
    </row>
    <row r="16" spans="1:9" ht="19.5" customHeight="1" thickBot="1">
      <c r="A16" s="503" t="s">
        <v>31</v>
      </c>
      <c r="B16" s="504"/>
      <c r="C16" s="504"/>
      <c r="D16" s="504"/>
      <c r="E16" s="504"/>
      <c r="F16" s="504"/>
      <c r="G16" s="504"/>
      <c r="H16" s="505"/>
    </row>
    <row r="17" spans="1:14" ht="20.25" customHeight="1">
      <c r="A17" s="506" t="s">
        <v>47</v>
      </c>
      <c r="B17" s="506"/>
      <c r="C17" s="506"/>
      <c r="D17" s="506"/>
      <c r="E17" s="506"/>
      <c r="F17" s="506"/>
      <c r="G17" s="506"/>
      <c r="H17" s="506"/>
    </row>
    <row r="18" spans="1:14" ht="26.25" customHeight="1">
      <c r="A18" s="93" t="s">
        <v>33</v>
      </c>
      <c r="B18" s="499" t="s">
        <v>5</v>
      </c>
      <c r="C18" s="499"/>
      <c r="D18" s="94"/>
      <c r="E18" s="95"/>
      <c r="F18" s="96"/>
      <c r="G18" s="96"/>
      <c r="H18" s="96"/>
    </row>
    <row r="19" spans="1:14" ht="26.25" customHeight="1">
      <c r="A19" s="93" t="s">
        <v>34</v>
      </c>
      <c r="B19" s="97" t="s">
        <v>7</v>
      </c>
      <c r="C19" s="96">
        <v>1</v>
      </c>
      <c r="D19" s="96"/>
      <c r="E19" s="96"/>
      <c r="F19" s="96"/>
      <c r="G19" s="96"/>
      <c r="H19" s="96"/>
    </row>
    <row r="20" spans="1:14" ht="26.25" customHeight="1">
      <c r="A20" s="93" t="s">
        <v>35</v>
      </c>
      <c r="B20" s="498" t="s">
        <v>137</v>
      </c>
      <c r="C20" s="498"/>
      <c r="D20" s="96"/>
      <c r="E20" s="96"/>
      <c r="F20" s="96"/>
      <c r="G20" s="96"/>
      <c r="H20" s="96"/>
    </row>
    <row r="21" spans="1:14" ht="26.25" customHeight="1">
      <c r="A21" s="93" t="s">
        <v>36</v>
      </c>
      <c r="B21" s="498" t="s">
        <v>11</v>
      </c>
      <c r="C21" s="498"/>
      <c r="D21" s="498"/>
      <c r="E21" s="498"/>
      <c r="F21" s="498"/>
      <c r="G21" s="498"/>
      <c r="H21" s="498"/>
      <c r="I21" s="98"/>
    </row>
    <row r="22" spans="1:14" ht="26.25" customHeight="1">
      <c r="A22" s="93" t="s">
        <v>37</v>
      </c>
      <c r="B22" s="99" t="s">
        <v>132</v>
      </c>
      <c r="C22" s="96"/>
      <c r="D22" s="96"/>
      <c r="E22" s="96"/>
      <c r="F22" s="96"/>
      <c r="G22" s="96"/>
      <c r="H22" s="96"/>
    </row>
    <row r="23" spans="1:14" ht="26.25" customHeight="1">
      <c r="A23" s="93" t="s">
        <v>38</v>
      </c>
      <c r="B23" s="99"/>
      <c r="C23" s="96"/>
      <c r="D23" s="96"/>
      <c r="E23" s="96"/>
      <c r="F23" s="96"/>
      <c r="G23" s="96"/>
      <c r="H23" s="96"/>
    </row>
    <row r="24" spans="1:14" ht="18.75">
      <c r="A24" s="93"/>
      <c r="B24" s="100"/>
    </row>
    <row r="25" spans="1:14" ht="18.75">
      <c r="A25" s="101" t="s">
        <v>1</v>
      </c>
      <c r="B25" s="100"/>
    </row>
    <row r="26" spans="1:14" ht="26.25" customHeight="1">
      <c r="A26" s="102" t="s">
        <v>4</v>
      </c>
      <c r="B26" s="499" t="s">
        <v>131</v>
      </c>
      <c r="C26" s="499"/>
    </row>
    <row r="27" spans="1:14" ht="26.25" customHeight="1">
      <c r="A27" s="103" t="s">
        <v>48</v>
      </c>
      <c r="B27" s="500" t="s">
        <v>133</v>
      </c>
      <c r="C27" s="500"/>
    </row>
    <row r="28" spans="1:14" ht="27" customHeight="1" thickBot="1">
      <c r="A28" s="103" t="s">
        <v>6</v>
      </c>
      <c r="B28" s="104">
        <v>99.02</v>
      </c>
    </row>
    <row r="29" spans="1:14" s="59" customFormat="1" ht="27" customHeight="1" thickBot="1">
      <c r="A29" s="103" t="s">
        <v>49</v>
      </c>
      <c r="B29" s="105">
        <v>0</v>
      </c>
      <c r="C29" s="478" t="s">
        <v>50</v>
      </c>
      <c r="D29" s="479"/>
      <c r="E29" s="479"/>
      <c r="F29" s="479"/>
      <c r="G29" s="480"/>
      <c r="I29" s="106"/>
      <c r="J29" s="106"/>
      <c r="K29" s="106"/>
      <c r="L29" s="106"/>
    </row>
    <row r="30" spans="1:14" s="59" customFormat="1" ht="19.5" customHeight="1" thickBot="1">
      <c r="A30" s="103" t="s">
        <v>51</v>
      </c>
      <c r="B30" s="107">
        <f>B28-B29</f>
        <v>99.02</v>
      </c>
      <c r="C30" s="108"/>
      <c r="D30" s="108"/>
      <c r="E30" s="108"/>
      <c r="F30" s="108"/>
      <c r="G30" s="109"/>
      <c r="I30" s="106"/>
      <c r="J30" s="106"/>
      <c r="K30" s="106"/>
      <c r="L30" s="106"/>
    </row>
    <row r="31" spans="1:14" s="59" customFormat="1" ht="27" customHeight="1" thickBot="1">
      <c r="A31" s="103" t="s">
        <v>52</v>
      </c>
      <c r="B31" s="110">
        <v>1</v>
      </c>
      <c r="C31" s="481" t="s">
        <v>53</v>
      </c>
      <c r="D31" s="482"/>
      <c r="E31" s="482"/>
      <c r="F31" s="482"/>
      <c r="G31" s="482"/>
      <c r="H31" s="483"/>
      <c r="I31" s="106"/>
      <c r="J31" s="106"/>
      <c r="K31" s="106"/>
      <c r="L31" s="106"/>
    </row>
    <row r="32" spans="1:14" s="59" customFormat="1" ht="27" customHeight="1" thickBot="1">
      <c r="A32" s="103" t="s">
        <v>54</v>
      </c>
      <c r="B32" s="110">
        <v>1</v>
      </c>
      <c r="C32" s="481" t="s">
        <v>55</v>
      </c>
      <c r="D32" s="482"/>
      <c r="E32" s="482"/>
      <c r="F32" s="482"/>
      <c r="G32" s="482"/>
      <c r="H32" s="483"/>
      <c r="I32" s="106"/>
      <c r="J32" s="106"/>
      <c r="K32" s="106"/>
      <c r="L32" s="111"/>
      <c r="M32" s="111"/>
      <c r="N32" s="112"/>
    </row>
    <row r="33" spans="1:14" s="59" customFormat="1" ht="17.25" customHeight="1">
      <c r="A33" s="103"/>
      <c r="B33" s="113"/>
      <c r="C33" s="114"/>
      <c r="D33" s="114"/>
      <c r="E33" s="114"/>
      <c r="F33" s="114"/>
      <c r="G33" s="114"/>
      <c r="H33" s="114"/>
      <c r="I33" s="106"/>
      <c r="J33" s="106"/>
      <c r="K33" s="106"/>
      <c r="L33" s="111"/>
      <c r="M33" s="111"/>
      <c r="N33" s="112"/>
    </row>
    <row r="34" spans="1:14" s="59" customFormat="1" ht="18.75">
      <c r="A34" s="103" t="s">
        <v>56</v>
      </c>
      <c r="B34" s="115">
        <f>B31/B32</f>
        <v>1</v>
      </c>
      <c r="C34" s="92" t="s">
        <v>57</v>
      </c>
      <c r="D34" s="92"/>
      <c r="E34" s="92"/>
      <c r="F34" s="92"/>
      <c r="G34" s="92"/>
      <c r="I34" s="106"/>
      <c r="J34" s="106"/>
      <c r="K34" s="106"/>
      <c r="L34" s="111"/>
      <c r="M34" s="111"/>
      <c r="N34" s="112"/>
    </row>
    <row r="35" spans="1:14" s="59" customFormat="1" ht="19.5" customHeight="1" thickBot="1">
      <c r="A35" s="103"/>
      <c r="B35" s="107"/>
      <c r="G35" s="92"/>
      <c r="I35" s="106"/>
      <c r="J35" s="106"/>
      <c r="K35" s="106"/>
      <c r="L35" s="111"/>
      <c r="M35" s="111"/>
      <c r="N35" s="112"/>
    </row>
    <row r="36" spans="1:14" s="59" customFormat="1" ht="27" customHeight="1" thickBot="1">
      <c r="A36" s="116" t="s">
        <v>58</v>
      </c>
      <c r="B36" s="117">
        <v>100</v>
      </c>
      <c r="C36" s="92"/>
      <c r="D36" s="484" t="s">
        <v>59</v>
      </c>
      <c r="E36" s="497"/>
      <c r="F36" s="484" t="s">
        <v>60</v>
      </c>
      <c r="G36" s="485"/>
      <c r="J36" s="106"/>
      <c r="K36" s="106"/>
      <c r="L36" s="111"/>
      <c r="M36" s="111"/>
      <c r="N36" s="112"/>
    </row>
    <row r="37" spans="1:14" s="59" customFormat="1" ht="27" customHeight="1" thickBot="1">
      <c r="A37" s="118" t="s">
        <v>61</v>
      </c>
      <c r="B37" s="119">
        <v>1</v>
      </c>
      <c r="C37" s="120" t="s">
        <v>62</v>
      </c>
      <c r="D37" s="121" t="s">
        <v>63</v>
      </c>
      <c r="E37" s="122" t="s">
        <v>64</v>
      </c>
      <c r="F37" s="121" t="s">
        <v>63</v>
      </c>
      <c r="G37" s="123" t="s">
        <v>64</v>
      </c>
      <c r="I37" s="124" t="s">
        <v>65</v>
      </c>
      <c r="J37" s="106"/>
      <c r="K37" s="106"/>
      <c r="L37" s="111"/>
      <c r="M37" s="111"/>
      <c r="N37" s="112"/>
    </row>
    <row r="38" spans="1:14" s="59" customFormat="1" ht="26.25" customHeight="1">
      <c r="A38" s="118" t="s">
        <v>66</v>
      </c>
      <c r="B38" s="119">
        <v>1</v>
      </c>
      <c r="C38" s="125">
        <v>1</v>
      </c>
      <c r="D38" s="126">
        <v>43249806</v>
      </c>
      <c r="E38" s="127">
        <f>IF(ISBLANK(D38),"-",$D$48/$D$45*D38)</f>
        <v>39527465.085439116</v>
      </c>
      <c r="F38" s="126">
        <v>46798853</v>
      </c>
      <c r="G38" s="128">
        <f>IF(ISBLANK(F38),"-",$D$48/$F$45*F38)</f>
        <v>40095033.555781983</v>
      </c>
      <c r="I38" s="129"/>
      <c r="J38" s="106"/>
      <c r="K38" s="106"/>
      <c r="L38" s="111"/>
      <c r="M38" s="111"/>
      <c r="N38" s="112"/>
    </row>
    <row r="39" spans="1:14" s="59" customFormat="1" ht="26.25" customHeight="1">
      <c r="A39" s="118" t="s">
        <v>67</v>
      </c>
      <c r="B39" s="119">
        <v>1</v>
      </c>
      <c r="C39" s="130">
        <v>2</v>
      </c>
      <c r="D39" s="131">
        <v>43438191</v>
      </c>
      <c r="E39" s="132">
        <f>IF(ISBLANK(D39),"-",$D$48/$D$45*D39)</f>
        <v>39699636.528476812</v>
      </c>
      <c r="F39" s="131">
        <v>46644891</v>
      </c>
      <c r="G39" s="133">
        <f>IF(ISBLANK(F39),"-",$D$48/$F$45*F39)</f>
        <v>39963126.229841426</v>
      </c>
      <c r="I39" s="466">
        <f>ABS((F43/D43*D42)-F42)/D42</f>
        <v>9.9768464247545728E-3</v>
      </c>
      <c r="J39" s="106"/>
      <c r="K39" s="106"/>
      <c r="L39" s="111"/>
      <c r="M39" s="111"/>
      <c r="N39" s="112"/>
    </row>
    <row r="40" spans="1:14" ht="26.25" customHeight="1">
      <c r="A40" s="118" t="s">
        <v>68</v>
      </c>
      <c r="B40" s="119">
        <v>1</v>
      </c>
      <c r="C40" s="130">
        <v>3</v>
      </c>
      <c r="D40" s="131">
        <v>43453342</v>
      </c>
      <c r="E40" s="132">
        <f>IF(ISBLANK(D40),"-",$D$48/$D$45*D40)</f>
        <v>39713483.541420855</v>
      </c>
      <c r="F40" s="131">
        <v>46681899</v>
      </c>
      <c r="G40" s="133">
        <f>IF(ISBLANK(F40),"-",$D$48/$F$45*F40)</f>
        <v>39994832.925769046</v>
      </c>
      <c r="I40" s="466"/>
      <c r="L40" s="111"/>
      <c r="M40" s="111"/>
      <c r="N40" s="92"/>
    </row>
    <row r="41" spans="1:14" ht="27" customHeight="1" thickBot="1">
      <c r="A41" s="118" t="s">
        <v>69</v>
      </c>
      <c r="B41" s="119">
        <v>1</v>
      </c>
      <c r="C41" s="134">
        <v>4</v>
      </c>
      <c r="D41" s="135"/>
      <c r="E41" s="136" t="str">
        <f>IF(ISBLANK(D41),"-",$D$48/$D$45*D41)</f>
        <v>-</v>
      </c>
      <c r="F41" s="135"/>
      <c r="G41" s="137" t="str">
        <f>IF(ISBLANK(F41),"-",$D$48/$F$45*F41)</f>
        <v>-</v>
      </c>
      <c r="I41" s="138"/>
      <c r="L41" s="111"/>
      <c r="M41" s="111"/>
      <c r="N41" s="92"/>
    </row>
    <row r="42" spans="1:14" ht="27" customHeight="1" thickBot="1">
      <c r="A42" s="118" t="s">
        <v>70</v>
      </c>
      <c r="B42" s="119">
        <v>1</v>
      </c>
      <c r="C42" s="139" t="s">
        <v>71</v>
      </c>
      <c r="D42" s="140">
        <f>AVERAGE(D38:D41)</f>
        <v>43380446.333333336</v>
      </c>
      <c r="E42" s="141">
        <f>AVERAGE(E38:E41)</f>
        <v>39646861.718445592</v>
      </c>
      <c r="F42" s="140">
        <f>AVERAGE(F38:F41)</f>
        <v>46708547.666666664</v>
      </c>
      <c r="G42" s="142">
        <f>AVERAGE(G38:G41)</f>
        <v>40017664.237130813</v>
      </c>
      <c r="H42" s="83"/>
    </row>
    <row r="43" spans="1:14" ht="26.25" customHeight="1">
      <c r="A43" s="118" t="s">
        <v>72</v>
      </c>
      <c r="B43" s="119">
        <v>1</v>
      </c>
      <c r="C43" s="143" t="s">
        <v>73</v>
      </c>
      <c r="D43" s="144">
        <v>17.68</v>
      </c>
      <c r="E43" s="92"/>
      <c r="F43" s="144">
        <v>18.86</v>
      </c>
      <c r="H43" s="83"/>
    </row>
    <row r="44" spans="1:14" ht="26.25" customHeight="1">
      <c r="A44" s="118" t="s">
        <v>74</v>
      </c>
      <c r="B44" s="119">
        <v>1</v>
      </c>
      <c r="C44" s="145" t="s">
        <v>75</v>
      </c>
      <c r="D44" s="146">
        <f>D43*$B$34</f>
        <v>17.68</v>
      </c>
      <c r="E44" s="147"/>
      <c r="F44" s="146">
        <f>F43*$B$34</f>
        <v>18.86</v>
      </c>
      <c r="H44" s="83"/>
    </row>
    <row r="45" spans="1:14" ht="19.5" customHeight="1" thickBot="1">
      <c r="A45" s="118" t="s">
        <v>76</v>
      </c>
      <c r="B45" s="130">
        <f>(B44/B43)*(B42/B41)*(B40/B39)*(B38/B37)*B36</f>
        <v>100</v>
      </c>
      <c r="C45" s="145" t="s">
        <v>77</v>
      </c>
      <c r="D45" s="148">
        <f>D44*$B$30/100</f>
        <v>17.506736</v>
      </c>
      <c r="E45" s="149"/>
      <c r="F45" s="148">
        <f>F44*$B$30/100</f>
        <v>18.675171999999996</v>
      </c>
      <c r="H45" s="83"/>
    </row>
    <row r="46" spans="1:14" ht="19.5" customHeight="1" thickBot="1">
      <c r="A46" s="467" t="s">
        <v>78</v>
      </c>
      <c r="B46" s="471"/>
      <c r="C46" s="145" t="s">
        <v>79</v>
      </c>
      <c r="D46" s="150">
        <f>D45/$B$45</f>
        <v>0.17506736000000001</v>
      </c>
      <c r="E46" s="151"/>
      <c r="F46" s="152">
        <f>F45/$B$45</f>
        <v>0.18675171999999995</v>
      </c>
      <c r="H46" s="83"/>
    </row>
    <row r="47" spans="1:14" ht="27" customHeight="1" thickBot="1">
      <c r="A47" s="469"/>
      <c r="B47" s="472"/>
      <c r="C47" s="153" t="s">
        <v>80</v>
      </c>
      <c r="D47" s="154">
        <v>0.16</v>
      </c>
      <c r="E47" s="155"/>
      <c r="F47" s="151"/>
      <c r="H47" s="83"/>
    </row>
    <row r="48" spans="1:14" ht="18.75">
      <c r="C48" s="156" t="s">
        <v>81</v>
      </c>
      <c r="D48" s="148">
        <f>D47*$B$45</f>
        <v>16</v>
      </c>
      <c r="F48" s="157"/>
      <c r="H48" s="83"/>
    </row>
    <row r="49" spans="1:12" ht="19.5" customHeight="1" thickBot="1">
      <c r="C49" s="158" t="s">
        <v>82</v>
      </c>
      <c r="D49" s="159">
        <f>D48/B34</f>
        <v>16</v>
      </c>
      <c r="F49" s="157"/>
      <c r="H49" s="83"/>
    </row>
    <row r="50" spans="1:12" ht="18.75">
      <c r="C50" s="116" t="s">
        <v>83</v>
      </c>
      <c r="D50" s="160">
        <f>AVERAGE(E38:E41,G38:G41)</f>
        <v>39832262.977788202</v>
      </c>
      <c r="F50" s="161"/>
      <c r="H50" s="83"/>
    </row>
    <row r="51" spans="1:12" ht="18.75">
      <c r="C51" s="118" t="s">
        <v>84</v>
      </c>
      <c r="D51" s="162">
        <f>STDEV(E38:E41,G38:G41)/D50</f>
        <v>5.4681419054369348E-3</v>
      </c>
      <c r="F51" s="161"/>
      <c r="H51" s="83"/>
    </row>
    <row r="52" spans="1:12" ht="19.5" customHeight="1" thickBot="1">
      <c r="C52" s="163" t="s">
        <v>20</v>
      </c>
      <c r="D52" s="164">
        <f>COUNT(E38:E41,G38:G41)</f>
        <v>6</v>
      </c>
      <c r="F52" s="161"/>
    </row>
    <row r="54" spans="1:12" ht="18.75">
      <c r="A54" s="165" t="s">
        <v>1</v>
      </c>
      <c r="B54" s="166" t="s">
        <v>85</v>
      </c>
    </row>
    <row r="55" spans="1:12" ht="18.75">
      <c r="A55" s="92" t="s">
        <v>86</v>
      </c>
      <c r="B55" s="167" t="str">
        <f>B21</f>
        <v>Each tablet contains: Sulphamethoxazole B.P. 800 mg and Trimethoprim B.P. 160 mg.</v>
      </c>
    </row>
    <row r="56" spans="1:12" ht="26.25" customHeight="1">
      <c r="A56" s="167" t="s">
        <v>87</v>
      </c>
      <c r="B56" s="168">
        <v>800</v>
      </c>
      <c r="C56" s="92" t="str">
        <f>B20</f>
        <v>Sulfamethoxazole</v>
      </c>
      <c r="H56" s="147"/>
    </row>
    <row r="57" spans="1:12" ht="18.75">
      <c r="A57" s="167" t="s">
        <v>88</v>
      </c>
      <c r="B57" s="169">
        <f>Uniformity!C46</f>
        <v>1079.2715000000001</v>
      </c>
      <c r="H57" s="147"/>
    </row>
    <row r="58" spans="1:12" ht="19.5" customHeight="1" thickBot="1">
      <c r="H58" s="147"/>
    </row>
    <row r="59" spans="1:12" s="59" customFormat="1" ht="27" customHeight="1" thickBot="1">
      <c r="A59" s="116" t="s">
        <v>89</v>
      </c>
      <c r="B59" s="117">
        <v>100</v>
      </c>
      <c r="C59" s="92"/>
      <c r="D59" s="170" t="s">
        <v>90</v>
      </c>
      <c r="E59" s="171" t="s">
        <v>62</v>
      </c>
      <c r="F59" s="171" t="s">
        <v>63</v>
      </c>
      <c r="G59" s="171" t="s">
        <v>91</v>
      </c>
      <c r="H59" s="120" t="s">
        <v>92</v>
      </c>
      <c r="L59" s="106"/>
    </row>
    <row r="60" spans="1:12" s="59" customFormat="1" ht="26.25" customHeight="1">
      <c r="A60" s="118" t="s">
        <v>93</v>
      </c>
      <c r="B60" s="119">
        <v>2</v>
      </c>
      <c r="C60" s="486" t="s">
        <v>94</v>
      </c>
      <c r="D60" s="489">
        <v>1095.45</v>
      </c>
      <c r="E60" s="172">
        <v>1</v>
      </c>
      <c r="F60" s="173">
        <v>37230908</v>
      </c>
      <c r="G60" s="174">
        <f>IF(ISBLANK(F60),"-",(F60/$D$50*$D$47*$B$68)*($B$57/$D$60))</f>
        <v>736.71037115337754</v>
      </c>
      <c r="H60" s="175">
        <f t="shared" ref="H60:H71" si="0">IF(ISBLANK(F60),"-",(G60/$B$56)*100)</f>
        <v>92.088796394172192</v>
      </c>
      <c r="L60" s="106"/>
    </row>
    <row r="61" spans="1:12" s="59" customFormat="1" ht="26.25" customHeight="1">
      <c r="A61" s="118" t="s">
        <v>95</v>
      </c>
      <c r="B61" s="119">
        <v>100</v>
      </c>
      <c r="C61" s="487"/>
      <c r="D61" s="490"/>
      <c r="E61" s="176">
        <v>2</v>
      </c>
      <c r="F61" s="131">
        <v>37561297</v>
      </c>
      <c r="G61" s="177">
        <f>IF(ISBLANK(F61),"-",(F61/$D$50*$D$47*$B$68)*($B$57/$D$60))</f>
        <v>743.24797702683611</v>
      </c>
      <c r="H61" s="178">
        <f t="shared" si="0"/>
        <v>92.905997128354514</v>
      </c>
      <c r="L61" s="106"/>
    </row>
    <row r="62" spans="1:12" s="59" customFormat="1" ht="26.25" customHeight="1">
      <c r="A62" s="118" t="s">
        <v>96</v>
      </c>
      <c r="B62" s="119">
        <v>1</v>
      </c>
      <c r="C62" s="487"/>
      <c r="D62" s="490"/>
      <c r="E62" s="176">
        <v>3</v>
      </c>
      <c r="F62" s="179">
        <v>38600865</v>
      </c>
      <c r="G62" s="177">
        <f>IF(ISBLANK(F62),"-",(F62/$D$50*$D$47*$B$68)*($B$57/$D$60))</f>
        <v>763.81853434762911</v>
      </c>
      <c r="H62" s="178">
        <f t="shared" si="0"/>
        <v>95.477316793453639</v>
      </c>
      <c r="L62" s="106"/>
    </row>
    <row r="63" spans="1:12" ht="27" customHeight="1" thickBot="1">
      <c r="A63" s="118" t="s">
        <v>97</v>
      </c>
      <c r="B63" s="119">
        <v>1</v>
      </c>
      <c r="C63" s="488"/>
      <c r="D63" s="491"/>
      <c r="E63" s="180">
        <v>4</v>
      </c>
      <c r="F63" s="181"/>
      <c r="G63" s="177" t="str">
        <f>IF(ISBLANK(F63),"-",(F63/$D$50*$D$47*$B$68)*($B$57/$D$60))</f>
        <v>-</v>
      </c>
      <c r="H63" s="178" t="str">
        <f t="shared" si="0"/>
        <v>-</v>
      </c>
    </row>
    <row r="64" spans="1:12" ht="26.25" customHeight="1">
      <c r="A64" s="118" t="s">
        <v>98</v>
      </c>
      <c r="B64" s="119">
        <v>1</v>
      </c>
      <c r="C64" s="486" t="s">
        <v>99</v>
      </c>
      <c r="D64" s="489">
        <v>1067.4100000000001</v>
      </c>
      <c r="E64" s="172">
        <v>1</v>
      </c>
      <c r="F64" s="173">
        <v>36897632</v>
      </c>
      <c r="G64" s="174">
        <f>IF(ISBLANK(F64),"-",(F64/$D$50*$D$47*$B$68)*($B$57/$D$64))</f>
        <v>749.29518757249309</v>
      </c>
      <c r="H64" s="175">
        <f t="shared" si="0"/>
        <v>93.661898446561636</v>
      </c>
    </row>
    <row r="65" spans="1:8" ht="26.25" customHeight="1">
      <c r="A65" s="118" t="s">
        <v>100</v>
      </c>
      <c r="B65" s="119">
        <v>1</v>
      </c>
      <c r="C65" s="487"/>
      <c r="D65" s="490"/>
      <c r="E65" s="176">
        <v>2</v>
      </c>
      <c r="F65" s="131">
        <v>37046506</v>
      </c>
      <c r="G65" s="177">
        <f>IF(ISBLANK(F65),"-",(F65/$D$50*$D$47*$B$68)*($B$57/$D$64))</f>
        <v>752.31843230957168</v>
      </c>
      <c r="H65" s="178">
        <f t="shared" si="0"/>
        <v>94.03980403869646</v>
      </c>
    </row>
    <row r="66" spans="1:8" ht="26.25" customHeight="1">
      <c r="A66" s="118" t="s">
        <v>101</v>
      </c>
      <c r="B66" s="119">
        <v>1</v>
      </c>
      <c r="C66" s="487"/>
      <c r="D66" s="490"/>
      <c r="E66" s="176">
        <v>3</v>
      </c>
      <c r="F66" s="131">
        <v>37058722</v>
      </c>
      <c r="G66" s="177">
        <f>IF(ISBLANK(F66),"-",(F66/$D$50*$D$47*$B$68)*($B$57/$D$64))</f>
        <v>752.56650757931766</v>
      </c>
      <c r="H66" s="178">
        <f t="shared" si="0"/>
        <v>94.070813447414707</v>
      </c>
    </row>
    <row r="67" spans="1:8" ht="27" customHeight="1" thickBot="1">
      <c r="A67" s="118" t="s">
        <v>102</v>
      </c>
      <c r="B67" s="119">
        <v>1</v>
      </c>
      <c r="C67" s="488"/>
      <c r="D67" s="491"/>
      <c r="E67" s="180">
        <v>4</v>
      </c>
      <c r="F67" s="181"/>
      <c r="G67" s="182" t="str">
        <f>IF(ISBLANK(F67),"-",(F67/$D$50*$D$47*$B$68)*($B$57/$D$64))</f>
        <v>-</v>
      </c>
      <c r="H67" s="183" t="str">
        <f t="shared" si="0"/>
        <v>-</v>
      </c>
    </row>
    <row r="68" spans="1:8" ht="26.25" customHeight="1">
      <c r="A68" s="118" t="s">
        <v>103</v>
      </c>
      <c r="B68" s="184">
        <f>(B67/B66)*(B65/B64)*(B63/B62)*(B61/B60)*B59</f>
        <v>5000</v>
      </c>
      <c r="C68" s="486" t="s">
        <v>104</v>
      </c>
      <c r="D68" s="489">
        <v>1081.07</v>
      </c>
      <c r="E68" s="172">
        <v>1</v>
      </c>
      <c r="F68" s="173">
        <v>37354674</v>
      </c>
      <c r="G68" s="174">
        <f>IF(ISBLANK(F68),"-",(F68/$D$50*$D$47*$B$68)*($B$57/$D$68))</f>
        <v>748.99143302435527</v>
      </c>
      <c r="H68" s="178">
        <f t="shared" si="0"/>
        <v>93.623929128044409</v>
      </c>
    </row>
    <row r="69" spans="1:8" ht="27" customHeight="1" thickBot="1">
      <c r="A69" s="163" t="s">
        <v>105</v>
      </c>
      <c r="B69" s="185">
        <f>(D47*B68)/B56*B57</f>
        <v>1079.2715000000001</v>
      </c>
      <c r="C69" s="487"/>
      <c r="D69" s="490"/>
      <c r="E69" s="176">
        <v>2</v>
      </c>
      <c r="F69" s="131">
        <v>37415567</v>
      </c>
      <c r="G69" s="177">
        <f>IF(ISBLANK(F69),"-",(F69/$D$50*$D$47*$B$68)*($B$57/$D$68))</f>
        <v>750.2123869358029</v>
      </c>
      <c r="H69" s="178">
        <f t="shared" si="0"/>
        <v>93.776548366975362</v>
      </c>
    </row>
    <row r="70" spans="1:8" ht="26.25" customHeight="1">
      <c r="A70" s="493" t="s">
        <v>78</v>
      </c>
      <c r="B70" s="494"/>
      <c r="C70" s="487"/>
      <c r="D70" s="490"/>
      <c r="E70" s="176">
        <v>3</v>
      </c>
      <c r="F70" s="131">
        <v>37453868</v>
      </c>
      <c r="G70" s="177">
        <f>IF(ISBLANK(F70),"-",(F70/$D$50*$D$47*$B$68)*($B$57/$D$68))</f>
        <v>750.98035297068964</v>
      </c>
      <c r="H70" s="178">
        <f t="shared" si="0"/>
        <v>93.872544121336205</v>
      </c>
    </row>
    <row r="71" spans="1:8" ht="27" customHeight="1" thickBot="1">
      <c r="A71" s="495"/>
      <c r="B71" s="496"/>
      <c r="C71" s="492"/>
      <c r="D71" s="491"/>
      <c r="E71" s="180">
        <v>4</v>
      </c>
      <c r="F71" s="181"/>
      <c r="G71" s="182" t="str">
        <f>IF(ISBLANK(F71),"-",(F71/$D$50*$D$47*$B$68)*($B$57/$D$68))</f>
        <v>-</v>
      </c>
      <c r="H71" s="183" t="str">
        <f t="shared" si="0"/>
        <v>-</v>
      </c>
    </row>
    <row r="72" spans="1:8" ht="26.25" customHeight="1">
      <c r="A72" s="147"/>
      <c r="B72" s="147"/>
      <c r="C72" s="147"/>
      <c r="D72" s="147"/>
      <c r="E72" s="147"/>
      <c r="F72" s="186" t="s">
        <v>71</v>
      </c>
      <c r="G72" s="187">
        <f>AVERAGE(G60:G71)</f>
        <v>749.79346476889691</v>
      </c>
      <c r="H72" s="188">
        <f>AVERAGE(H60:H71)</f>
        <v>93.724183096112114</v>
      </c>
    </row>
    <row r="73" spans="1:8" ht="26.25" customHeight="1">
      <c r="C73" s="147"/>
      <c r="D73" s="147"/>
      <c r="E73" s="147"/>
      <c r="F73" s="189" t="s">
        <v>84</v>
      </c>
      <c r="G73" s="190">
        <f>STDEV(G60:G71)/G72</f>
        <v>9.7466769160160609E-3</v>
      </c>
      <c r="H73" s="190">
        <f>STDEV(H60:H71)/H72</f>
        <v>9.7466769160160609E-3</v>
      </c>
    </row>
    <row r="74" spans="1:8" ht="27" customHeight="1" thickBot="1">
      <c r="A74" s="147"/>
      <c r="B74" s="147"/>
      <c r="C74" s="147"/>
      <c r="D74" s="147"/>
      <c r="E74" s="149"/>
      <c r="F74" s="191" t="s">
        <v>20</v>
      </c>
      <c r="G74" s="192">
        <f>COUNT(G60:G71)</f>
        <v>9</v>
      </c>
      <c r="H74" s="192">
        <f>COUNT(H60:H71)</f>
        <v>9</v>
      </c>
    </row>
    <row r="76" spans="1:8" ht="26.25" customHeight="1">
      <c r="A76" s="102" t="s">
        <v>106</v>
      </c>
      <c r="B76" s="103" t="s">
        <v>107</v>
      </c>
      <c r="C76" s="475" t="str">
        <f>B26</f>
        <v>SULFAMETHOXAZOLE</v>
      </c>
      <c r="D76" s="475"/>
      <c r="E76" s="92" t="s">
        <v>108</v>
      </c>
      <c r="F76" s="92"/>
      <c r="G76" s="193">
        <f>H72</f>
        <v>93.724183096112114</v>
      </c>
      <c r="H76" s="107"/>
    </row>
    <row r="77" spans="1:8" ht="18.75">
      <c r="A77" s="101" t="s">
        <v>109</v>
      </c>
      <c r="B77" s="101" t="s">
        <v>110</v>
      </c>
    </row>
    <row r="78" spans="1:8" ht="18.75">
      <c r="A78" s="101"/>
      <c r="B78" s="101"/>
    </row>
    <row r="79" spans="1:8" ht="26.25" customHeight="1">
      <c r="A79" s="102" t="s">
        <v>4</v>
      </c>
      <c r="B79" s="477" t="str">
        <f>B26</f>
        <v>SULFAMETHOXAZOLE</v>
      </c>
      <c r="C79" s="477"/>
    </row>
    <row r="80" spans="1:8" ht="26.25" customHeight="1">
      <c r="A80" s="103" t="s">
        <v>48</v>
      </c>
      <c r="B80" s="477" t="str">
        <f>B27</f>
        <v>S12-6</v>
      </c>
      <c r="C80" s="477"/>
    </row>
    <row r="81" spans="1:12" ht="27" customHeight="1" thickBot="1">
      <c r="A81" s="103" t="s">
        <v>6</v>
      </c>
      <c r="B81" s="104">
        <f>B28</f>
        <v>99.02</v>
      </c>
    </row>
    <row r="82" spans="1:12" s="59" customFormat="1" ht="27" customHeight="1" thickBot="1">
      <c r="A82" s="103" t="s">
        <v>49</v>
      </c>
      <c r="B82" s="105">
        <v>0</v>
      </c>
      <c r="C82" s="478" t="s">
        <v>50</v>
      </c>
      <c r="D82" s="479"/>
      <c r="E82" s="479"/>
      <c r="F82" s="479"/>
      <c r="G82" s="480"/>
      <c r="I82" s="106"/>
      <c r="J82" s="106"/>
      <c r="K82" s="106"/>
      <c r="L82" s="106"/>
    </row>
    <row r="83" spans="1:12" s="59" customFormat="1" ht="19.5" customHeight="1" thickBot="1">
      <c r="A83" s="103" t="s">
        <v>51</v>
      </c>
      <c r="B83" s="107">
        <f>B81-B82</f>
        <v>99.02</v>
      </c>
      <c r="C83" s="108"/>
      <c r="D83" s="108"/>
      <c r="E83" s="108"/>
      <c r="F83" s="108"/>
      <c r="G83" s="109"/>
      <c r="I83" s="106"/>
      <c r="J83" s="106"/>
      <c r="K83" s="106"/>
      <c r="L83" s="106"/>
    </row>
    <row r="84" spans="1:12" s="59" customFormat="1" ht="27" customHeight="1" thickBot="1">
      <c r="A84" s="103" t="s">
        <v>52</v>
      </c>
      <c r="B84" s="110">
        <v>1</v>
      </c>
      <c r="C84" s="481" t="s">
        <v>111</v>
      </c>
      <c r="D84" s="482"/>
      <c r="E84" s="482"/>
      <c r="F84" s="482"/>
      <c r="G84" s="482"/>
      <c r="H84" s="483"/>
      <c r="I84" s="106"/>
      <c r="J84" s="106"/>
      <c r="K84" s="106"/>
      <c r="L84" s="106"/>
    </row>
    <row r="85" spans="1:12" s="59" customFormat="1" ht="27" customHeight="1" thickBot="1">
      <c r="A85" s="103" t="s">
        <v>54</v>
      </c>
      <c r="B85" s="110">
        <v>1</v>
      </c>
      <c r="C85" s="481" t="s">
        <v>112</v>
      </c>
      <c r="D85" s="482"/>
      <c r="E85" s="482"/>
      <c r="F85" s="482"/>
      <c r="G85" s="482"/>
      <c r="H85" s="483"/>
      <c r="I85" s="106"/>
      <c r="J85" s="106"/>
      <c r="K85" s="106"/>
      <c r="L85" s="106"/>
    </row>
    <row r="86" spans="1:12" s="59" customFormat="1" ht="18.75">
      <c r="A86" s="103"/>
      <c r="B86" s="113"/>
      <c r="C86" s="114"/>
      <c r="D86" s="114"/>
      <c r="E86" s="114"/>
      <c r="F86" s="114"/>
      <c r="G86" s="114"/>
      <c r="H86" s="114"/>
      <c r="I86" s="106"/>
      <c r="J86" s="106"/>
      <c r="K86" s="106"/>
      <c r="L86" s="106"/>
    </row>
    <row r="87" spans="1:12" s="59" customFormat="1" ht="18.75">
      <c r="A87" s="103" t="s">
        <v>56</v>
      </c>
      <c r="B87" s="115">
        <f>B84/B85</f>
        <v>1</v>
      </c>
      <c r="C87" s="92" t="s">
        <v>57</v>
      </c>
      <c r="D87" s="92"/>
      <c r="E87" s="92"/>
      <c r="F87" s="92"/>
      <c r="G87" s="92"/>
      <c r="I87" s="106"/>
      <c r="J87" s="106"/>
      <c r="K87" s="106"/>
      <c r="L87" s="106"/>
    </row>
    <row r="88" spans="1:12" ht="19.5" customHeight="1" thickBot="1">
      <c r="A88" s="101"/>
      <c r="B88" s="101"/>
    </row>
    <row r="89" spans="1:12" ht="27" customHeight="1" thickBot="1">
      <c r="A89" s="116" t="s">
        <v>58</v>
      </c>
      <c r="B89" s="117">
        <v>100</v>
      </c>
      <c r="D89" s="194" t="s">
        <v>59</v>
      </c>
      <c r="E89" s="195"/>
      <c r="F89" s="484" t="s">
        <v>60</v>
      </c>
      <c r="G89" s="485"/>
    </row>
    <row r="90" spans="1:12" ht="27" customHeight="1" thickBot="1">
      <c r="A90" s="118" t="s">
        <v>61</v>
      </c>
      <c r="B90" s="119">
        <v>1</v>
      </c>
      <c r="C90" s="196" t="s">
        <v>62</v>
      </c>
      <c r="D90" s="121" t="s">
        <v>63</v>
      </c>
      <c r="E90" s="122" t="s">
        <v>64</v>
      </c>
      <c r="F90" s="121" t="s">
        <v>63</v>
      </c>
      <c r="G90" s="197" t="s">
        <v>64</v>
      </c>
      <c r="I90" s="124" t="s">
        <v>65</v>
      </c>
    </row>
    <row r="91" spans="1:12" ht="26.25" customHeight="1">
      <c r="A91" s="118" t="s">
        <v>66</v>
      </c>
      <c r="B91" s="119">
        <v>1</v>
      </c>
      <c r="C91" s="198">
        <v>1</v>
      </c>
      <c r="D91" s="126">
        <v>43249806</v>
      </c>
      <c r="E91" s="127">
        <f>IF(ISBLANK(D91),"-",$D$101/$D$98*D91)</f>
        <v>43919405.650487907</v>
      </c>
      <c r="F91" s="126">
        <v>46798853</v>
      </c>
      <c r="G91" s="128">
        <f>IF(ISBLANK(F91),"-",$D$101/$F$98*F91)</f>
        <v>44550037.284202211</v>
      </c>
      <c r="I91" s="129"/>
    </row>
    <row r="92" spans="1:12" ht="26.25" customHeight="1">
      <c r="A92" s="118" t="s">
        <v>67</v>
      </c>
      <c r="B92" s="119">
        <v>1</v>
      </c>
      <c r="C92" s="147">
        <v>2</v>
      </c>
      <c r="D92" s="131">
        <v>43438191</v>
      </c>
      <c r="E92" s="132">
        <f>IF(ISBLANK(D92),"-",$D$101/$D$98*D92)</f>
        <v>44110707.253863126</v>
      </c>
      <c r="F92" s="131">
        <v>46644891</v>
      </c>
      <c r="G92" s="133">
        <f>IF(ISBLANK(F92),"-",$D$101/$F$98*F92)</f>
        <v>44403473.5887127</v>
      </c>
      <c r="I92" s="466">
        <f>ABS((F96/D96*D95)-F95)/D95</f>
        <v>9.9768464247545728E-3</v>
      </c>
    </row>
    <row r="93" spans="1:12" ht="26.25" customHeight="1">
      <c r="A93" s="118" t="s">
        <v>68</v>
      </c>
      <c r="B93" s="119">
        <v>1</v>
      </c>
      <c r="C93" s="147">
        <v>3</v>
      </c>
      <c r="D93" s="131">
        <v>43453342</v>
      </c>
      <c r="E93" s="132">
        <f>IF(ISBLANK(D93),"-",$D$101/$D$98*D93)</f>
        <v>44126092.823800959</v>
      </c>
      <c r="F93" s="131">
        <v>46681899</v>
      </c>
      <c r="G93" s="133">
        <f>IF(ISBLANK(F93),"-",$D$101/$F$98*F93)</f>
        <v>44438703.2508545</v>
      </c>
      <c r="I93" s="466"/>
    </row>
    <row r="94" spans="1:12" ht="27" customHeight="1" thickBot="1">
      <c r="A94" s="118" t="s">
        <v>69</v>
      </c>
      <c r="B94" s="119">
        <v>1</v>
      </c>
      <c r="C94" s="199">
        <v>4</v>
      </c>
      <c r="D94" s="135"/>
      <c r="E94" s="136" t="str">
        <f>IF(ISBLANK(D94),"-",$D$101/$D$98*D94)</f>
        <v>-</v>
      </c>
      <c r="F94" s="200"/>
      <c r="G94" s="137" t="str">
        <f>IF(ISBLANK(F94),"-",$D$101/$F$98*F94)</f>
        <v>-</v>
      </c>
      <c r="I94" s="138"/>
    </row>
    <row r="95" spans="1:12" ht="27" customHeight="1" thickBot="1">
      <c r="A95" s="118" t="s">
        <v>70</v>
      </c>
      <c r="B95" s="119">
        <v>1</v>
      </c>
      <c r="C95" s="103" t="s">
        <v>71</v>
      </c>
      <c r="D95" s="201">
        <f>AVERAGE(D91:D94)</f>
        <v>43380446.333333336</v>
      </c>
      <c r="E95" s="141">
        <f>AVERAGE(E91:E94)</f>
        <v>44052068.576050662</v>
      </c>
      <c r="F95" s="202">
        <f>AVERAGE(F91:F94)</f>
        <v>46708547.666666664</v>
      </c>
      <c r="G95" s="203">
        <f>AVERAGE(G91:G94)</f>
        <v>44464071.374589801</v>
      </c>
    </row>
    <row r="96" spans="1:12" ht="26.25" customHeight="1">
      <c r="A96" s="118" t="s">
        <v>72</v>
      </c>
      <c r="B96" s="104">
        <v>1</v>
      </c>
      <c r="C96" s="204" t="s">
        <v>113</v>
      </c>
      <c r="D96" s="205">
        <v>17.68</v>
      </c>
      <c r="E96" s="92"/>
      <c r="F96" s="144">
        <v>18.86</v>
      </c>
    </row>
    <row r="97" spans="1:10" ht="26.25" customHeight="1">
      <c r="A97" s="118" t="s">
        <v>74</v>
      </c>
      <c r="B97" s="104">
        <v>1</v>
      </c>
      <c r="C97" s="206" t="s">
        <v>114</v>
      </c>
      <c r="D97" s="207">
        <f>D96*$B$87</f>
        <v>17.68</v>
      </c>
      <c r="E97" s="147"/>
      <c r="F97" s="146">
        <f>F96*$B$87</f>
        <v>18.86</v>
      </c>
    </row>
    <row r="98" spans="1:10" ht="19.5" customHeight="1" thickBot="1">
      <c r="A98" s="118" t="s">
        <v>76</v>
      </c>
      <c r="B98" s="147">
        <f>(B97/B96)*(B95/B94)*(B93/B92)*(B91/B90)*B89</f>
        <v>100</v>
      </c>
      <c r="C98" s="206" t="s">
        <v>115</v>
      </c>
      <c r="D98" s="208">
        <f>D97*$B$83/100</f>
        <v>17.506736</v>
      </c>
      <c r="E98" s="149"/>
      <c r="F98" s="148">
        <f>F97*$B$83/100</f>
        <v>18.675171999999996</v>
      </c>
    </row>
    <row r="99" spans="1:10" ht="19.5" customHeight="1" thickBot="1">
      <c r="A99" s="467" t="s">
        <v>78</v>
      </c>
      <c r="B99" s="468"/>
      <c r="C99" s="206" t="s">
        <v>116</v>
      </c>
      <c r="D99" s="209">
        <f>D98/$B$98</f>
        <v>0.17506736000000001</v>
      </c>
      <c r="E99" s="149"/>
      <c r="F99" s="152">
        <f>F98/$B$98</f>
        <v>0.18675171999999995</v>
      </c>
      <c r="H99" s="83"/>
    </row>
    <row r="100" spans="1:10" ht="19.5" customHeight="1" thickBot="1">
      <c r="A100" s="469"/>
      <c r="B100" s="470"/>
      <c r="C100" s="206" t="s">
        <v>80</v>
      </c>
      <c r="D100" s="210">
        <f>$B$56/$B$116</f>
        <v>0.17777777777777778</v>
      </c>
      <c r="F100" s="157"/>
      <c r="G100" s="211"/>
      <c r="H100" s="83"/>
    </row>
    <row r="101" spans="1:10" ht="18.75">
      <c r="C101" s="206" t="s">
        <v>81</v>
      </c>
      <c r="D101" s="207">
        <f>D100*$B$98</f>
        <v>17.777777777777779</v>
      </c>
      <c r="F101" s="157"/>
      <c r="H101" s="83"/>
    </row>
    <row r="102" spans="1:10" ht="19.5" customHeight="1" thickBot="1">
      <c r="C102" s="212" t="s">
        <v>82</v>
      </c>
      <c r="D102" s="213">
        <f>D101/B34</f>
        <v>17.777777777777779</v>
      </c>
      <c r="F102" s="161"/>
      <c r="H102" s="83"/>
      <c r="J102" s="214"/>
    </row>
    <row r="103" spans="1:10" ht="18.75">
      <c r="C103" s="215" t="s">
        <v>117</v>
      </c>
      <c r="D103" s="216">
        <f>AVERAGE(E91:E94,G91:G94)</f>
        <v>44258069.975320227</v>
      </c>
      <c r="F103" s="161"/>
      <c r="G103" s="211"/>
      <c r="H103" s="83"/>
      <c r="J103" s="217"/>
    </row>
    <row r="104" spans="1:10" ht="18.75">
      <c r="C104" s="189" t="s">
        <v>84</v>
      </c>
      <c r="D104" s="218">
        <f>STDEV(E91:E94,G91:G94)/D103</f>
        <v>5.4681419053996478E-3</v>
      </c>
      <c r="F104" s="161"/>
      <c r="H104" s="83"/>
      <c r="J104" s="217"/>
    </row>
    <row r="105" spans="1:10" ht="19.5" customHeight="1" thickBot="1">
      <c r="C105" s="191" t="s">
        <v>20</v>
      </c>
      <c r="D105" s="219">
        <f>COUNT(E91:E94,G91:G94)</f>
        <v>6</v>
      </c>
      <c r="F105" s="161"/>
      <c r="H105" s="83"/>
      <c r="J105" s="217"/>
    </row>
    <row r="106" spans="1:10" ht="19.5" customHeight="1" thickBot="1">
      <c r="A106" s="165"/>
      <c r="B106" s="165"/>
      <c r="C106" s="165"/>
      <c r="D106" s="165"/>
      <c r="E106" s="165"/>
    </row>
    <row r="107" spans="1:10" ht="27" customHeight="1" thickBot="1">
      <c r="A107" s="116" t="s">
        <v>118</v>
      </c>
      <c r="B107" s="117">
        <v>900</v>
      </c>
      <c r="C107" s="171" t="s">
        <v>119</v>
      </c>
      <c r="D107" s="171" t="s">
        <v>63</v>
      </c>
      <c r="E107" s="171" t="s">
        <v>120</v>
      </c>
      <c r="F107" s="220" t="s">
        <v>121</v>
      </c>
    </row>
    <row r="108" spans="1:10" ht="26.25" customHeight="1">
      <c r="A108" s="118" t="s">
        <v>122</v>
      </c>
      <c r="B108" s="119">
        <v>10</v>
      </c>
      <c r="C108" s="172">
        <v>1</v>
      </c>
      <c r="D108" s="221">
        <v>35514022</v>
      </c>
      <c r="E108" s="222">
        <f t="shared" ref="E108:E113" si="1">IF(ISBLANK(D108),"-",D108/$D$103*$D$100*$B$116)</f>
        <v>641.94434180801466</v>
      </c>
      <c r="F108" s="223">
        <f t="shared" ref="F108:F113" si="2">IF(ISBLANK(D108), "-", (E108/$B$56)*100)</f>
        <v>80.243042726001832</v>
      </c>
    </row>
    <row r="109" spans="1:10" ht="26.25" customHeight="1">
      <c r="A109" s="118" t="s">
        <v>95</v>
      </c>
      <c r="B109" s="119">
        <v>50</v>
      </c>
      <c r="C109" s="176">
        <v>2</v>
      </c>
      <c r="D109" s="224">
        <v>35498887</v>
      </c>
      <c r="E109" s="225">
        <f t="shared" si="1"/>
        <v>641.67076458228507</v>
      </c>
      <c r="F109" s="226">
        <f t="shared" si="2"/>
        <v>80.208845572785634</v>
      </c>
    </row>
    <row r="110" spans="1:10" ht="26.25" customHeight="1">
      <c r="A110" s="118" t="s">
        <v>96</v>
      </c>
      <c r="B110" s="119">
        <v>1</v>
      </c>
      <c r="C110" s="176">
        <v>3</v>
      </c>
      <c r="D110" s="224">
        <v>35503857</v>
      </c>
      <c r="E110" s="225">
        <f t="shared" si="1"/>
        <v>641.76060130589758</v>
      </c>
      <c r="F110" s="226">
        <f t="shared" si="2"/>
        <v>80.220075163237198</v>
      </c>
    </row>
    <row r="111" spans="1:10" ht="26.25" customHeight="1">
      <c r="A111" s="118" t="s">
        <v>97</v>
      </c>
      <c r="B111" s="119">
        <v>1</v>
      </c>
      <c r="C111" s="176">
        <v>4</v>
      </c>
      <c r="D111" s="224">
        <v>35527556</v>
      </c>
      <c r="E111" s="225">
        <f t="shared" si="1"/>
        <v>642.18897967871339</v>
      </c>
      <c r="F111" s="226">
        <f t="shared" si="2"/>
        <v>80.273622459839174</v>
      </c>
    </row>
    <row r="112" spans="1:10" ht="26.25" customHeight="1">
      <c r="A112" s="118" t="s">
        <v>98</v>
      </c>
      <c r="B112" s="119">
        <v>1</v>
      </c>
      <c r="C112" s="176">
        <v>5</v>
      </c>
      <c r="D112" s="224">
        <v>35535600</v>
      </c>
      <c r="E112" s="225">
        <f t="shared" si="1"/>
        <v>642.33438141004956</v>
      </c>
      <c r="F112" s="226">
        <f t="shared" si="2"/>
        <v>80.291797676256195</v>
      </c>
    </row>
    <row r="113" spans="1:10" ht="27" customHeight="1" thickBot="1">
      <c r="A113" s="118" t="s">
        <v>100</v>
      </c>
      <c r="B113" s="119">
        <v>1</v>
      </c>
      <c r="C113" s="180">
        <v>6</v>
      </c>
      <c r="D113" s="227">
        <v>36993634</v>
      </c>
      <c r="E113" s="228">
        <f t="shared" si="1"/>
        <v>668.68951168686533</v>
      </c>
      <c r="F113" s="229">
        <f t="shared" si="2"/>
        <v>83.586188960858166</v>
      </c>
    </row>
    <row r="114" spans="1:10" ht="27" customHeight="1" thickBot="1">
      <c r="A114" s="118" t="s">
        <v>101</v>
      </c>
      <c r="B114" s="119">
        <v>1</v>
      </c>
      <c r="C114" s="230"/>
      <c r="D114" s="147"/>
      <c r="E114" s="92"/>
      <c r="F114" s="226"/>
    </row>
    <row r="115" spans="1:10" ht="26.25" customHeight="1">
      <c r="A115" s="118" t="s">
        <v>102</v>
      </c>
      <c r="B115" s="119">
        <v>1</v>
      </c>
      <c r="C115" s="230"/>
      <c r="D115" s="231" t="s">
        <v>71</v>
      </c>
      <c r="E115" s="232">
        <f>AVERAGE(E108:E113)</f>
        <v>646.43143007863762</v>
      </c>
      <c r="F115" s="233">
        <f>AVERAGE(F108:F113)</f>
        <v>80.803928759829702</v>
      </c>
    </row>
    <row r="116" spans="1:10" ht="27" customHeight="1" thickBot="1">
      <c r="A116" s="118" t="s">
        <v>103</v>
      </c>
      <c r="B116" s="130">
        <f>(B115/B114)*(B113/B112)*(B111/B110)*(B109/B108)*B107</f>
        <v>4500</v>
      </c>
      <c r="C116" s="234"/>
      <c r="D116" s="235" t="s">
        <v>84</v>
      </c>
      <c r="E116" s="190">
        <f>STDEV(E108:E113)/E115</f>
        <v>1.6872741545101475E-2</v>
      </c>
      <c r="F116" s="236">
        <f>STDEV(F108:F113)/F115</f>
        <v>1.6872741545101475E-2</v>
      </c>
      <c r="I116" s="92"/>
    </row>
    <row r="117" spans="1:10" ht="27" customHeight="1" thickBot="1">
      <c r="A117" s="467" t="s">
        <v>78</v>
      </c>
      <c r="B117" s="471"/>
      <c r="C117" s="237"/>
      <c r="D117" s="191" t="s">
        <v>20</v>
      </c>
      <c r="E117" s="238">
        <f>COUNT(E108:E113)</f>
        <v>6</v>
      </c>
      <c r="F117" s="239">
        <f>COUNT(F108:F113)</f>
        <v>6</v>
      </c>
      <c r="I117" s="92"/>
      <c r="J117" s="217"/>
    </row>
    <row r="118" spans="1:10" ht="26.25" customHeight="1" thickBot="1">
      <c r="A118" s="469"/>
      <c r="B118" s="472"/>
      <c r="C118" s="92"/>
      <c r="D118" s="240"/>
      <c r="E118" s="473" t="s">
        <v>123</v>
      </c>
      <c r="F118" s="474"/>
      <c r="G118" s="92"/>
      <c r="H118" s="92"/>
      <c r="I118" s="92"/>
    </row>
    <row r="119" spans="1:10" ht="25.5" customHeight="1">
      <c r="A119" s="241"/>
      <c r="B119" s="114"/>
      <c r="C119" s="92"/>
      <c r="D119" s="235" t="s">
        <v>124</v>
      </c>
      <c r="E119" s="242">
        <f>MIN(E108:E113)</f>
        <v>641.67076458228507</v>
      </c>
      <c r="F119" s="243">
        <f>MIN(F108:F113)</f>
        <v>80.208845572785634</v>
      </c>
      <c r="G119" s="92"/>
      <c r="H119" s="92"/>
      <c r="I119" s="92"/>
    </row>
    <row r="120" spans="1:10" ht="24" customHeight="1" thickBot="1">
      <c r="A120" s="241"/>
      <c r="B120" s="114"/>
      <c r="C120" s="92"/>
      <c r="D120" s="158" t="s">
        <v>125</v>
      </c>
      <c r="E120" s="244">
        <f>MAX(E108:E113)</f>
        <v>668.68951168686533</v>
      </c>
      <c r="F120" s="245">
        <f>MAX(F108:F113)</f>
        <v>83.586188960858166</v>
      </c>
      <c r="G120" s="92"/>
      <c r="H120" s="92"/>
      <c r="I120" s="92"/>
    </row>
    <row r="121" spans="1:10" ht="27" customHeight="1">
      <c r="A121" s="241"/>
      <c r="B121" s="114"/>
      <c r="C121" s="92"/>
      <c r="D121" s="92"/>
      <c r="E121" s="92"/>
      <c r="F121" s="147"/>
      <c r="G121" s="92"/>
      <c r="H121" s="92"/>
      <c r="I121" s="92"/>
    </row>
    <row r="122" spans="1:10" ht="25.5" customHeight="1">
      <c r="A122" s="241"/>
      <c r="B122" s="114"/>
      <c r="C122" s="92"/>
      <c r="D122" s="92"/>
      <c r="E122" s="92"/>
      <c r="F122" s="147"/>
      <c r="G122" s="92"/>
      <c r="H122" s="92"/>
      <c r="I122" s="92"/>
    </row>
    <row r="123" spans="1:10" ht="18.75">
      <c r="A123" s="241"/>
      <c r="B123" s="114"/>
      <c r="C123" s="92"/>
      <c r="D123" s="92"/>
      <c r="E123" s="92"/>
      <c r="F123" s="147"/>
      <c r="G123" s="92"/>
      <c r="H123" s="92"/>
      <c r="I123" s="92"/>
    </row>
    <row r="124" spans="1:10" ht="45.75" customHeight="1">
      <c r="A124" s="102" t="s">
        <v>106</v>
      </c>
      <c r="B124" s="103" t="s">
        <v>126</v>
      </c>
      <c r="C124" s="475" t="str">
        <f>B26</f>
        <v>SULFAMETHOXAZOLE</v>
      </c>
      <c r="D124" s="475"/>
      <c r="E124" s="92" t="s">
        <v>127</v>
      </c>
      <c r="F124" s="92"/>
      <c r="G124" s="246">
        <f>F115</f>
        <v>80.803928759829702</v>
      </c>
      <c r="H124" s="92"/>
      <c r="I124" s="92"/>
    </row>
    <row r="125" spans="1:10" ht="45.75" customHeight="1">
      <c r="A125" s="102"/>
      <c r="B125" s="103" t="s">
        <v>128</v>
      </c>
      <c r="C125" s="103" t="s">
        <v>129</v>
      </c>
      <c r="D125" s="246">
        <f>MIN(F108:F113)</f>
        <v>80.208845572785634</v>
      </c>
      <c r="E125" s="103" t="s">
        <v>130</v>
      </c>
      <c r="F125" s="246">
        <f>MAX(F108:F113)</f>
        <v>83.586188960858166</v>
      </c>
      <c r="G125" s="247"/>
      <c r="H125" s="92"/>
      <c r="I125" s="92"/>
    </row>
    <row r="126" spans="1:10" ht="19.5" customHeight="1" thickBot="1">
      <c r="A126" s="248"/>
      <c r="B126" s="248"/>
      <c r="C126" s="249"/>
      <c r="D126" s="249"/>
      <c r="E126" s="249"/>
      <c r="F126" s="249"/>
      <c r="G126" s="249"/>
      <c r="H126" s="249"/>
    </row>
    <row r="127" spans="1:10" ht="18.75">
      <c r="B127" s="476" t="s">
        <v>26</v>
      </c>
      <c r="C127" s="476"/>
      <c r="E127" s="196" t="s">
        <v>27</v>
      </c>
      <c r="F127" s="250"/>
      <c r="G127" s="476" t="s">
        <v>28</v>
      </c>
      <c r="H127" s="476"/>
    </row>
    <row r="128" spans="1:10" ht="69.95" customHeight="1">
      <c r="A128" s="102" t="s">
        <v>29</v>
      </c>
      <c r="B128" s="251"/>
      <c r="C128" s="251"/>
      <c r="E128" s="251"/>
      <c r="F128" s="92"/>
      <c r="G128" s="251"/>
      <c r="H128" s="251"/>
    </row>
    <row r="129" spans="1:9" ht="69.95" customHeight="1">
      <c r="A129" s="102" t="s">
        <v>30</v>
      </c>
      <c r="B129" s="252"/>
      <c r="C129" s="252"/>
      <c r="E129" s="252"/>
      <c r="F129" s="92"/>
      <c r="G129" s="253"/>
      <c r="H129" s="253"/>
    </row>
    <row r="130" spans="1:9" ht="18.75">
      <c r="A130" s="147"/>
      <c r="B130" s="147"/>
      <c r="C130" s="147"/>
      <c r="D130" s="147"/>
      <c r="E130" s="147"/>
      <c r="F130" s="149"/>
      <c r="G130" s="147"/>
      <c r="H130" s="147"/>
      <c r="I130" s="92"/>
    </row>
    <row r="131" spans="1:9" ht="18.75">
      <c r="A131" s="147"/>
      <c r="B131" s="147"/>
      <c r="C131" s="147"/>
      <c r="D131" s="147"/>
      <c r="E131" s="147"/>
      <c r="F131" s="149"/>
      <c r="G131" s="147"/>
      <c r="H131" s="147"/>
      <c r="I131" s="92"/>
    </row>
    <row r="132" spans="1:9" ht="18.75">
      <c r="A132" s="147"/>
      <c r="B132" s="147"/>
      <c r="C132" s="147"/>
      <c r="D132" s="147"/>
      <c r="E132" s="147"/>
      <c r="F132" s="149"/>
      <c r="G132" s="147"/>
      <c r="H132" s="147"/>
      <c r="I132" s="92"/>
    </row>
    <row r="133" spans="1:9" ht="18.75">
      <c r="A133" s="147"/>
      <c r="B133" s="147"/>
      <c r="C133" s="147"/>
      <c r="D133" s="147"/>
      <c r="E133" s="147"/>
      <c r="F133" s="149"/>
      <c r="G133" s="147"/>
      <c r="H133" s="147"/>
      <c r="I133" s="92"/>
    </row>
    <row r="134" spans="1:9" ht="18.75">
      <c r="A134" s="147"/>
      <c r="B134" s="147"/>
      <c r="C134" s="147"/>
      <c r="D134" s="147"/>
      <c r="E134" s="147"/>
      <c r="F134" s="149"/>
      <c r="G134" s="147"/>
      <c r="H134" s="147"/>
      <c r="I134" s="92"/>
    </row>
    <row r="135" spans="1:9" ht="18.75">
      <c r="A135" s="147"/>
      <c r="B135" s="147"/>
      <c r="C135" s="147"/>
      <c r="D135" s="147"/>
      <c r="E135" s="147"/>
      <c r="F135" s="149"/>
      <c r="G135" s="147"/>
      <c r="H135" s="147"/>
      <c r="I135" s="92"/>
    </row>
    <row r="136" spans="1:9" ht="18.75">
      <c r="A136" s="147"/>
      <c r="B136" s="147"/>
      <c r="C136" s="147"/>
      <c r="D136" s="147"/>
      <c r="E136" s="147"/>
      <c r="F136" s="149"/>
      <c r="G136" s="147"/>
      <c r="H136" s="147"/>
      <c r="I136" s="92"/>
    </row>
    <row r="137" spans="1:9" ht="18.75">
      <c r="A137" s="147"/>
      <c r="B137" s="147"/>
      <c r="C137" s="147"/>
      <c r="D137" s="147"/>
      <c r="E137" s="147"/>
      <c r="F137" s="149"/>
      <c r="G137" s="147"/>
      <c r="H137" s="147"/>
      <c r="I137" s="92"/>
    </row>
    <row r="138" spans="1:9" ht="18.75">
      <c r="A138" s="147"/>
      <c r="B138" s="147"/>
      <c r="C138" s="147"/>
      <c r="D138" s="147"/>
      <c r="E138" s="147"/>
      <c r="F138" s="149"/>
      <c r="G138" s="147"/>
      <c r="H138" s="147"/>
      <c r="I138" s="92"/>
    </row>
    <row r="250" spans="1:1">
      <c r="A250" s="49">
        <v>0</v>
      </c>
    </row>
  </sheetData>
  <sheetProtection password="F258" sheet="1" objects="1" scenarios="1" formatCells="0" formatColumns="0"/>
  <mergeCells count="37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B127:C127"/>
    <mergeCell ref="G127:H127"/>
    <mergeCell ref="B79:C79"/>
    <mergeCell ref="B80:C80"/>
    <mergeCell ref="C82:G82"/>
    <mergeCell ref="C84:H84"/>
    <mergeCell ref="C85:H85"/>
    <mergeCell ref="F89:G89"/>
    <mergeCell ref="I92:I93"/>
    <mergeCell ref="A99:B100"/>
    <mergeCell ref="A117:B118"/>
    <mergeCell ref="E118:F118"/>
    <mergeCell ref="C124:D124"/>
  </mergeCells>
  <conditionalFormatting sqref="E51">
    <cfRule type="cellIs" dxfId="38" priority="1" operator="greaterThan">
      <formula>0.02</formula>
    </cfRule>
  </conditionalFormatting>
  <conditionalFormatting sqref="D51">
    <cfRule type="cellIs" dxfId="37" priority="2" operator="greaterThan">
      <formula>0.02</formula>
    </cfRule>
  </conditionalFormatting>
  <conditionalFormatting sqref="G73">
    <cfRule type="cellIs" dxfId="36" priority="3" operator="greaterThan">
      <formula>0.02</formula>
    </cfRule>
  </conditionalFormatting>
  <conditionalFormatting sqref="H73">
    <cfRule type="cellIs" dxfId="35" priority="4" operator="greaterThan">
      <formula>0.02</formula>
    </cfRule>
  </conditionalFormatting>
  <conditionalFormatting sqref="D104">
    <cfRule type="cellIs" dxfId="34" priority="5" operator="greaterThan">
      <formula>0.02</formula>
    </cfRule>
  </conditionalFormatting>
  <conditionalFormatting sqref="I39">
    <cfRule type="cellIs" dxfId="33" priority="6" operator="lessThanOrEqual">
      <formula>0.02</formula>
    </cfRule>
  </conditionalFormatting>
  <conditionalFormatting sqref="I39">
    <cfRule type="cellIs" dxfId="32" priority="7" operator="greaterThan">
      <formula>0.02</formula>
    </cfRule>
  </conditionalFormatting>
  <conditionalFormatting sqref="I92">
    <cfRule type="cellIs" dxfId="31" priority="8" operator="lessThanOrEqual">
      <formula>0.02</formula>
    </cfRule>
  </conditionalFormatting>
  <conditionalFormatting sqref="I92">
    <cfRule type="cellIs" dxfId="30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50"/>
  <sheetViews>
    <sheetView tabSelected="1" view="pageBreakPreview" topLeftCell="D115" zoomScale="70" zoomScaleNormal="40" zoomScaleSheetLayoutView="70" zoomScalePageLayoutView="44" workbookViewId="0">
      <selection activeCell="B81" sqref="B81"/>
    </sheetView>
  </sheetViews>
  <sheetFormatPr defaultColWidth="9.140625" defaultRowHeight="13.5"/>
  <cols>
    <col min="1" max="1" width="55.42578125" style="254" customWidth="1"/>
    <col min="2" max="2" width="33.7109375" style="254" customWidth="1"/>
    <col min="3" max="3" width="42.28515625" style="254" customWidth="1"/>
    <col min="4" max="4" width="30.5703125" style="254" customWidth="1"/>
    <col min="5" max="5" width="39.85546875" style="254" customWidth="1"/>
    <col min="6" max="6" width="30.7109375" style="254" customWidth="1"/>
    <col min="7" max="7" width="39.85546875" style="254" customWidth="1"/>
    <col min="8" max="8" width="30" style="254" customWidth="1"/>
    <col min="9" max="9" width="30.28515625" style="254" hidden="1" customWidth="1"/>
    <col min="10" max="10" width="30.42578125" style="254" customWidth="1"/>
    <col min="11" max="11" width="21.28515625" style="254" customWidth="1"/>
    <col min="12" max="12" width="9.140625" style="254"/>
    <col min="13" max="16384" width="9.140625" style="256"/>
  </cols>
  <sheetData>
    <row r="1" spans="1:9" ht="18.75" customHeight="1">
      <c r="A1" s="542" t="s">
        <v>45</v>
      </c>
      <c r="B1" s="542"/>
      <c r="C1" s="542"/>
      <c r="D1" s="542"/>
      <c r="E1" s="542"/>
      <c r="F1" s="542"/>
      <c r="G1" s="542"/>
      <c r="H1" s="542"/>
      <c r="I1" s="542"/>
    </row>
    <row r="2" spans="1:9" ht="18.75" customHeight="1">
      <c r="A2" s="542"/>
      <c r="B2" s="542"/>
      <c r="C2" s="542"/>
      <c r="D2" s="542"/>
      <c r="E2" s="542"/>
      <c r="F2" s="542"/>
      <c r="G2" s="542"/>
      <c r="H2" s="542"/>
      <c r="I2" s="542"/>
    </row>
    <row r="3" spans="1:9" ht="18.75" customHeight="1">
      <c r="A3" s="542"/>
      <c r="B3" s="542"/>
      <c r="C3" s="542"/>
      <c r="D3" s="542"/>
      <c r="E3" s="542"/>
      <c r="F3" s="542"/>
      <c r="G3" s="542"/>
      <c r="H3" s="542"/>
      <c r="I3" s="542"/>
    </row>
    <row r="4" spans="1:9" ht="18.75" customHeight="1">
      <c r="A4" s="542"/>
      <c r="B4" s="542"/>
      <c r="C4" s="542"/>
      <c r="D4" s="542"/>
      <c r="E4" s="542"/>
      <c r="F4" s="542"/>
      <c r="G4" s="542"/>
      <c r="H4" s="542"/>
      <c r="I4" s="542"/>
    </row>
    <row r="5" spans="1:9" ht="18.75" customHeight="1">
      <c r="A5" s="542"/>
      <c r="B5" s="542"/>
      <c r="C5" s="542"/>
      <c r="D5" s="542"/>
      <c r="E5" s="542"/>
      <c r="F5" s="542"/>
      <c r="G5" s="542"/>
      <c r="H5" s="542"/>
      <c r="I5" s="542"/>
    </row>
    <row r="6" spans="1:9" ht="18.75" customHeight="1">
      <c r="A6" s="542"/>
      <c r="B6" s="542"/>
      <c r="C6" s="542"/>
      <c r="D6" s="542"/>
      <c r="E6" s="542"/>
      <c r="F6" s="542"/>
      <c r="G6" s="542"/>
      <c r="H6" s="542"/>
      <c r="I6" s="542"/>
    </row>
    <row r="7" spans="1:9" ht="18.75" customHeight="1">
      <c r="A7" s="542"/>
      <c r="B7" s="542"/>
      <c r="C7" s="542"/>
      <c r="D7" s="542"/>
      <c r="E7" s="542"/>
      <c r="F7" s="542"/>
      <c r="G7" s="542"/>
      <c r="H7" s="542"/>
      <c r="I7" s="542"/>
    </row>
    <row r="8" spans="1:9">
      <c r="A8" s="543" t="s">
        <v>46</v>
      </c>
      <c r="B8" s="543"/>
      <c r="C8" s="543"/>
      <c r="D8" s="543"/>
      <c r="E8" s="543"/>
      <c r="F8" s="543"/>
      <c r="G8" s="543"/>
      <c r="H8" s="543"/>
      <c r="I8" s="543"/>
    </row>
    <row r="9" spans="1:9">
      <c r="A9" s="543"/>
      <c r="B9" s="543"/>
      <c r="C9" s="543"/>
      <c r="D9" s="543"/>
      <c r="E9" s="543"/>
      <c r="F9" s="543"/>
      <c r="G9" s="543"/>
      <c r="H9" s="543"/>
      <c r="I9" s="543"/>
    </row>
    <row r="10" spans="1:9">
      <c r="A10" s="543"/>
      <c r="B10" s="543"/>
      <c r="C10" s="543"/>
      <c r="D10" s="543"/>
      <c r="E10" s="543"/>
      <c r="F10" s="543"/>
      <c r="G10" s="543"/>
      <c r="H10" s="543"/>
      <c r="I10" s="543"/>
    </row>
    <row r="11" spans="1:9">
      <c r="A11" s="543"/>
      <c r="B11" s="543"/>
      <c r="C11" s="543"/>
      <c r="D11" s="543"/>
      <c r="E11" s="543"/>
      <c r="F11" s="543"/>
      <c r="G11" s="543"/>
      <c r="H11" s="543"/>
      <c r="I11" s="543"/>
    </row>
    <row r="12" spans="1:9">
      <c r="A12" s="543"/>
      <c r="B12" s="543"/>
      <c r="C12" s="543"/>
      <c r="D12" s="543"/>
      <c r="E12" s="543"/>
      <c r="F12" s="543"/>
      <c r="G12" s="543"/>
      <c r="H12" s="543"/>
      <c r="I12" s="543"/>
    </row>
    <row r="13" spans="1:9">
      <c r="A13" s="543"/>
      <c r="B13" s="543"/>
      <c r="C13" s="543"/>
      <c r="D13" s="543"/>
      <c r="E13" s="543"/>
      <c r="F13" s="543"/>
      <c r="G13" s="543"/>
      <c r="H13" s="543"/>
      <c r="I13" s="543"/>
    </row>
    <row r="14" spans="1:9">
      <c r="A14" s="543"/>
      <c r="B14" s="543"/>
      <c r="C14" s="543"/>
      <c r="D14" s="543"/>
      <c r="E14" s="543"/>
      <c r="F14" s="543"/>
      <c r="G14" s="543"/>
      <c r="H14" s="543"/>
      <c r="I14" s="543"/>
    </row>
    <row r="15" spans="1:9" ht="19.5" customHeight="1" thickBot="1">
      <c r="A15" s="255"/>
    </row>
    <row r="16" spans="1:9" ht="19.5" customHeight="1" thickBot="1">
      <c r="A16" s="544" t="s">
        <v>31</v>
      </c>
      <c r="B16" s="545"/>
      <c r="C16" s="545"/>
      <c r="D16" s="545"/>
      <c r="E16" s="545"/>
      <c r="F16" s="545"/>
      <c r="G16" s="545"/>
      <c r="H16" s="546"/>
    </row>
    <row r="17" spans="1:14" ht="20.25" customHeight="1">
      <c r="A17" s="547" t="s">
        <v>47</v>
      </c>
      <c r="B17" s="547"/>
      <c r="C17" s="547"/>
      <c r="D17" s="547"/>
      <c r="E17" s="547"/>
      <c r="F17" s="547"/>
      <c r="G17" s="547"/>
      <c r="H17" s="547"/>
    </row>
    <row r="18" spans="1:14" ht="26.25" customHeight="1">
      <c r="A18" s="257" t="s">
        <v>33</v>
      </c>
      <c r="B18" s="540" t="s">
        <v>5</v>
      </c>
      <c r="C18" s="540"/>
      <c r="D18" s="258"/>
      <c r="E18" s="259"/>
      <c r="F18" s="260"/>
      <c r="G18" s="260"/>
      <c r="H18" s="260"/>
    </row>
    <row r="19" spans="1:14" ht="26.25" customHeight="1">
      <c r="A19" s="257" t="s">
        <v>34</v>
      </c>
      <c r="B19" s="261" t="s">
        <v>7</v>
      </c>
      <c r="C19" s="260">
        <v>1</v>
      </c>
      <c r="D19" s="260"/>
      <c r="E19" s="260"/>
      <c r="F19" s="260"/>
      <c r="G19" s="260"/>
      <c r="H19" s="260"/>
    </row>
    <row r="20" spans="1:14" ht="26.25" customHeight="1">
      <c r="A20" s="257" t="s">
        <v>35</v>
      </c>
      <c r="B20" s="539" t="s">
        <v>138</v>
      </c>
      <c r="C20" s="539"/>
      <c r="D20" s="260"/>
      <c r="E20" s="260"/>
      <c r="F20" s="260"/>
      <c r="G20" s="260"/>
      <c r="H20" s="260"/>
    </row>
    <row r="21" spans="1:14" ht="26.25" customHeight="1">
      <c r="A21" s="257" t="s">
        <v>36</v>
      </c>
      <c r="B21" s="539" t="s">
        <v>11</v>
      </c>
      <c r="C21" s="539"/>
      <c r="D21" s="539"/>
      <c r="E21" s="539"/>
      <c r="F21" s="539"/>
      <c r="G21" s="539"/>
      <c r="H21" s="539"/>
      <c r="I21" s="262"/>
    </row>
    <row r="22" spans="1:14" ht="26.25" customHeight="1">
      <c r="A22" s="257" t="s">
        <v>37</v>
      </c>
      <c r="B22" s="263" t="s">
        <v>132</v>
      </c>
      <c r="C22" s="260"/>
      <c r="D22" s="260"/>
      <c r="E22" s="260"/>
      <c r="F22" s="260"/>
      <c r="G22" s="260"/>
      <c r="H22" s="260"/>
    </row>
    <row r="23" spans="1:14" ht="26.25" customHeight="1">
      <c r="A23" s="257" t="s">
        <v>38</v>
      </c>
      <c r="B23" s="263"/>
      <c r="C23" s="260"/>
      <c r="D23" s="260"/>
      <c r="E23" s="260"/>
      <c r="F23" s="260"/>
      <c r="G23" s="260"/>
      <c r="H23" s="260"/>
    </row>
    <row r="24" spans="1:14" ht="18.75">
      <c r="A24" s="257"/>
      <c r="B24" s="264"/>
    </row>
    <row r="25" spans="1:14" ht="18.75">
      <c r="A25" s="265" t="s">
        <v>1</v>
      </c>
      <c r="B25" s="264"/>
    </row>
    <row r="26" spans="1:14" ht="26.25" customHeight="1">
      <c r="A26" s="266" t="s">
        <v>4</v>
      </c>
      <c r="B26" s="540" t="s">
        <v>134</v>
      </c>
      <c r="C26" s="540"/>
    </row>
    <row r="27" spans="1:14" ht="26.25" customHeight="1">
      <c r="A27" s="267" t="s">
        <v>48</v>
      </c>
      <c r="B27" s="541" t="s">
        <v>135</v>
      </c>
      <c r="C27" s="541"/>
    </row>
    <row r="28" spans="1:14" ht="27" customHeight="1" thickBot="1">
      <c r="A28" s="267" t="s">
        <v>6</v>
      </c>
      <c r="B28" s="558">
        <v>99</v>
      </c>
    </row>
    <row r="29" spans="1:14" s="270" customFormat="1" ht="27" customHeight="1" thickBot="1">
      <c r="A29" s="267" t="s">
        <v>49</v>
      </c>
      <c r="B29" s="269">
        <v>0</v>
      </c>
      <c r="C29" s="519" t="s">
        <v>50</v>
      </c>
      <c r="D29" s="520"/>
      <c r="E29" s="520"/>
      <c r="F29" s="520"/>
      <c r="G29" s="521"/>
      <c r="I29" s="271"/>
      <c r="J29" s="271"/>
      <c r="K29" s="271"/>
      <c r="L29" s="271"/>
    </row>
    <row r="30" spans="1:14" s="270" customFormat="1" ht="19.5" customHeight="1" thickBot="1">
      <c r="A30" s="267" t="s">
        <v>51</v>
      </c>
      <c r="B30" s="272">
        <f>B28-B29</f>
        <v>99</v>
      </c>
      <c r="C30" s="273"/>
      <c r="D30" s="273"/>
      <c r="E30" s="273"/>
      <c r="F30" s="273"/>
      <c r="G30" s="274"/>
      <c r="I30" s="271"/>
      <c r="J30" s="271"/>
      <c r="K30" s="271"/>
      <c r="L30" s="271"/>
    </row>
    <row r="31" spans="1:14" s="270" customFormat="1" ht="27" customHeight="1" thickBot="1">
      <c r="A31" s="267" t="s">
        <v>52</v>
      </c>
      <c r="B31" s="275">
        <v>1</v>
      </c>
      <c r="C31" s="522" t="s">
        <v>53</v>
      </c>
      <c r="D31" s="523"/>
      <c r="E31" s="523"/>
      <c r="F31" s="523"/>
      <c r="G31" s="523"/>
      <c r="H31" s="524"/>
      <c r="I31" s="271"/>
      <c r="J31" s="271"/>
      <c r="K31" s="271"/>
      <c r="L31" s="271"/>
    </row>
    <row r="32" spans="1:14" s="270" customFormat="1" ht="27" customHeight="1" thickBot="1">
      <c r="A32" s="267" t="s">
        <v>54</v>
      </c>
      <c r="B32" s="275">
        <v>1</v>
      </c>
      <c r="C32" s="522" t="s">
        <v>55</v>
      </c>
      <c r="D32" s="523"/>
      <c r="E32" s="523"/>
      <c r="F32" s="523"/>
      <c r="G32" s="523"/>
      <c r="H32" s="524"/>
      <c r="I32" s="271"/>
      <c r="J32" s="271"/>
      <c r="K32" s="271"/>
      <c r="L32" s="276"/>
      <c r="M32" s="276"/>
      <c r="N32" s="277"/>
    </row>
    <row r="33" spans="1:14" s="270" customFormat="1" ht="17.25" customHeight="1">
      <c r="A33" s="267"/>
      <c r="B33" s="278"/>
      <c r="C33" s="279"/>
      <c r="D33" s="279"/>
      <c r="E33" s="279"/>
      <c r="F33" s="279"/>
      <c r="G33" s="279"/>
      <c r="H33" s="279"/>
      <c r="I33" s="271"/>
      <c r="J33" s="271"/>
      <c r="K33" s="271"/>
      <c r="L33" s="276"/>
      <c r="M33" s="276"/>
      <c r="N33" s="277"/>
    </row>
    <row r="34" spans="1:14" s="270" customFormat="1" ht="18.75">
      <c r="A34" s="267" t="s">
        <v>56</v>
      </c>
      <c r="B34" s="280">
        <f>B31/B32</f>
        <v>1</v>
      </c>
      <c r="C34" s="255" t="s">
        <v>57</v>
      </c>
      <c r="D34" s="255"/>
      <c r="E34" s="255"/>
      <c r="F34" s="255"/>
      <c r="G34" s="255"/>
      <c r="I34" s="271"/>
      <c r="J34" s="271"/>
      <c r="K34" s="271"/>
      <c r="L34" s="276"/>
      <c r="M34" s="276"/>
      <c r="N34" s="277"/>
    </row>
    <row r="35" spans="1:14" s="270" customFormat="1" ht="19.5" customHeight="1" thickBot="1">
      <c r="A35" s="267"/>
      <c r="B35" s="272"/>
      <c r="G35" s="255"/>
      <c r="I35" s="271"/>
      <c r="J35" s="271"/>
      <c r="K35" s="271"/>
      <c r="L35" s="276"/>
      <c r="M35" s="276"/>
      <c r="N35" s="277"/>
    </row>
    <row r="36" spans="1:14" s="270" customFormat="1" ht="27" customHeight="1" thickBot="1">
      <c r="A36" s="281" t="s">
        <v>58</v>
      </c>
      <c r="B36" s="282">
        <v>25</v>
      </c>
      <c r="C36" s="255"/>
      <c r="D36" s="525" t="s">
        <v>59</v>
      </c>
      <c r="E36" s="538"/>
      <c r="F36" s="525" t="s">
        <v>60</v>
      </c>
      <c r="G36" s="526"/>
      <c r="J36" s="271"/>
      <c r="K36" s="271"/>
      <c r="L36" s="276"/>
      <c r="M36" s="276"/>
      <c r="N36" s="277"/>
    </row>
    <row r="37" spans="1:14" s="270" customFormat="1" ht="27" customHeight="1" thickBot="1">
      <c r="A37" s="283" t="s">
        <v>61</v>
      </c>
      <c r="B37" s="284">
        <v>4</v>
      </c>
      <c r="C37" s="285" t="s">
        <v>62</v>
      </c>
      <c r="D37" s="286" t="s">
        <v>63</v>
      </c>
      <c r="E37" s="287" t="s">
        <v>64</v>
      </c>
      <c r="F37" s="286" t="s">
        <v>63</v>
      </c>
      <c r="G37" s="288" t="s">
        <v>64</v>
      </c>
      <c r="I37" s="289" t="s">
        <v>65</v>
      </c>
      <c r="J37" s="271"/>
      <c r="K37" s="271"/>
      <c r="L37" s="276"/>
      <c r="M37" s="276"/>
      <c r="N37" s="277"/>
    </row>
    <row r="38" spans="1:14" s="270" customFormat="1" ht="26.25" customHeight="1">
      <c r="A38" s="283" t="s">
        <v>66</v>
      </c>
      <c r="B38" s="284">
        <v>100</v>
      </c>
      <c r="C38" s="290">
        <v>1</v>
      </c>
      <c r="D38" s="291">
        <v>3025304</v>
      </c>
      <c r="E38" s="292">
        <f>IF(ISBLANK(D38),"-",$D$48/$D$45*D38)</f>
        <v>2873401.6231900575</v>
      </c>
      <c r="F38" s="291">
        <v>2804627</v>
      </c>
      <c r="G38" s="293">
        <f>IF(ISBLANK(F38),"-",$D$48/$F$45*F38)</f>
        <v>2838633.8333232119</v>
      </c>
      <c r="I38" s="294"/>
      <c r="J38" s="271"/>
      <c r="K38" s="271"/>
      <c r="L38" s="276"/>
      <c r="M38" s="276"/>
      <c r="N38" s="277"/>
    </row>
    <row r="39" spans="1:14" s="270" customFormat="1" ht="26.25" customHeight="1">
      <c r="A39" s="283" t="s">
        <v>67</v>
      </c>
      <c r="B39" s="284">
        <v>1</v>
      </c>
      <c r="C39" s="295">
        <v>2</v>
      </c>
      <c r="D39" s="296">
        <v>3035530</v>
      </c>
      <c r="E39" s="297">
        <f>IF(ISBLANK(D39),"-",$D$48/$D$45*D39)</f>
        <v>2883114.1694329279</v>
      </c>
      <c r="F39" s="296">
        <v>2792114</v>
      </c>
      <c r="G39" s="298">
        <f>IF(ISBLANK(F39),"-",$D$48/$F$45*F39)</f>
        <v>2825969.1099370457</v>
      </c>
      <c r="I39" s="507">
        <f>ABS((F43/D43*D42)-F42)/D42</f>
        <v>1.6763068435608479E-2</v>
      </c>
      <c r="J39" s="271"/>
      <c r="K39" s="271"/>
      <c r="L39" s="276"/>
      <c r="M39" s="276"/>
      <c r="N39" s="277"/>
    </row>
    <row r="40" spans="1:14" ht="26.25" customHeight="1">
      <c r="A40" s="283" t="s">
        <v>68</v>
      </c>
      <c r="B40" s="284">
        <v>1</v>
      </c>
      <c r="C40" s="295">
        <v>3</v>
      </c>
      <c r="D40" s="296">
        <v>3039400</v>
      </c>
      <c r="E40" s="297">
        <f>IF(ISBLANK(D40),"-",$D$48/$D$45*D40)</f>
        <v>2886789.8543497976</v>
      </c>
      <c r="F40" s="296">
        <v>2790470</v>
      </c>
      <c r="G40" s="298">
        <f>IF(ISBLANK(F40),"-",$D$48/$F$45*F40)</f>
        <v>2824305.176008583</v>
      </c>
      <c r="I40" s="507"/>
      <c r="L40" s="276"/>
      <c r="M40" s="276"/>
      <c r="N40" s="255"/>
    </row>
    <row r="41" spans="1:14" ht="27" customHeight="1" thickBot="1">
      <c r="A41" s="283" t="s">
        <v>69</v>
      </c>
      <c r="B41" s="284">
        <v>1</v>
      </c>
      <c r="C41" s="299">
        <v>4</v>
      </c>
      <c r="D41" s="300"/>
      <c r="E41" s="301" t="str">
        <f>IF(ISBLANK(D41),"-",$D$48/$D$45*D41)</f>
        <v>-</v>
      </c>
      <c r="F41" s="300"/>
      <c r="G41" s="302" t="str">
        <f>IF(ISBLANK(F41),"-",$D$48/$F$45*F41)</f>
        <v>-</v>
      </c>
      <c r="I41" s="303"/>
      <c r="L41" s="276"/>
      <c r="M41" s="276"/>
      <c r="N41" s="255"/>
    </row>
    <row r="42" spans="1:14" ht="27" customHeight="1" thickBot="1">
      <c r="A42" s="283" t="s">
        <v>70</v>
      </c>
      <c r="B42" s="284">
        <v>1</v>
      </c>
      <c r="C42" s="304" t="s">
        <v>71</v>
      </c>
      <c r="D42" s="305">
        <f>AVERAGE(D38:D41)</f>
        <v>3033411.3333333335</v>
      </c>
      <c r="E42" s="306">
        <f>AVERAGE(E38:E41)</f>
        <v>2881101.8823242611</v>
      </c>
      <c r="F42" s="305">
        <f>AVERAGE(F38:F41)</f>
        <v>2795737</v>
      </c>
      <c r="G42" s="307">
        <f>AVERAGE(G38:G41)</f>
        <v>2829636.0397562808</v>
      </c>
      <c r="H42" s="308"/>
    </row>
    <row r="43" spans="1:14" ht="26.25" customHeight="1">
      <c r="A43" s="283" t="s">
        <v>72</v>
      </c>
      <c r="B43" s="284">
        <v>1</v>
      </c>
      <c r="C43" s="309" t="s">
        <v>73</v>
      </c>
      <c r="D43" s="310">
        <v>21.27</v>
      </c>
      <c r="E43" s="255"/>
      <c r="F43" s="310">
        <v>19.96</v>
      </c>
      <c r="H43" s="308"/>
    </row>
    <row r="44" spans="1:14" ht="26.25" customHeight="1">
      <c r="A44" s="283" t="s">
        <v>74</v>
      </c>
      <c r="B44" s="284">
        <v>1</v>
      </c>
      <c r="C44" s="311" t="s">
        <v>75</v>
      </c>
      <c r="D44" s="312">
        <f>D43*$B$34</f>
        <v>21.27</v>
      </c>
      <c r="E44" s="313"/>
      <c r="F44" s="312">
        <f>F43*$B$34</f>
        <v>19.96</v>
      </c>
      <c r="H44" s="308"/>
    </row>
    <row r="45" spans="1:14" ht="19.5" customHeight="1" thickBot="1">
      <c r="A45" s="283" t="s">
        <v>76</v>
      </c>
      <c r="B45" s="295">
        <f>(B44/B43)*(B42/B41)*(B40/B39)*(B38/B37)*B36</f>
        <v>625</v>
      </c>
      <c r="C45" s="311" t="s">
        <v>77</v>
      </c>
      <c r="D45" s="314">
        <f>D44*$B$30/100</f>
        <v>21.057300000000001</v>
      </c>
      <c r="E45" s="315"/>
      <c r="F45" s="314">
        <f>F44*$B$30/100</f>
        <v>19.760400000000001</v>
      </c>
      <c r="H45" s="308"/>
    </row>
    <row r="46" spans="1:14" ht="19.5" customHeight="1" thickBot="1">
      <c r="A46" s="508" t="s">
        <v>78</v>
      </c>
      <c r="B46" s="512"/>
      <c r="C46" s="311" t="s">
        <v>79</v>
      </c>
      <c r="D46" s="316">
        <f>D45/$B$45</f>
        <v>3.3691680000000002E-2</v>
      </c>
      <c r="E46" s="317"/>
      <c r="F46" s="318">
        <f>F45/$B$45</f>
        <v>3.1616640000000001E-2</v>
      </c>
      <c r="H46" s="308"/>
    </row>
    <row r="47" spans="1:14" ht="27" customHeight="1" thickBot="1">
      <c r="A47" s="510"/>
      <c r="B47" s="513"/>
      <c r="C47" s="319" t="s">
        <v>80</v>
      </c>
      <c r="D47" s="320">
        <v>3.2000000000000001E-2</v>
      </c>
      <c r="E47" s="321"/>
      <c r="F47" s="317"/>
      <c r="H47" s="308"/>
    </row>
    <row r="48" spans="1:14" ht="18.75">
      <c r="C48" s="322" t="s">
        <v>81</v>
      </c>
      <c r="D48" s="314">
        <f>D47*$B$45</f>
        <v>20</v>
      </c>
      <c r="F48" s="323"/>
      <c r="H48" s="308"/>
    </row>
    <row r="49" spans="1:12" ht="19.5" customHeight="1" thickBot="1">
      <c r="C49" s="324" t="s">
        <v>82</v>
      </c>
      <c r="D49" s="325">
        <f>D48/B34</f>
        <v>20</v>
      </c>
      <c r="F49" s="323"/>
      <c r="H49" s="308"/>
    </row>
    <row r="50" spans="1:12" ht="18.75">
      <c r="C50" s="281" t="s">
        <v>83</v>
      </c>
      <c r="D50" s="326">
        <f>AVERAGE(E38:E41,G38:G41)</f>
        <v>2855368.961040271</v>
      </c>
      <c r="F50" s="327"/>
      <c r="H50" s="308"/>
    </row>
    <row r="51" spans="1:12" ht="18.75">
      <c r="C51" s="283" t="s">
        <v>84</v>
      </c>
      <c r="D51" s="328">
        <f>STDEV(E38:E41,G38:G41)/D50</f>
        <v>1.0140135120989392E-2</v>
      </c>
      <c r="F51" s="327"/>
      <c r="H51" s="308"/>
    </row>
    <row r="52" spans="1:12" ht="19.5" customHeight="1" thickBot="1">
      <c r="C52" s="329" t="s">
        <v>20</v>
      </c>
      <c r="D52" s="330">
        <f>COUNT(E38:E41,G38:G41)</f>
        <v>6</v>
      </c>
      <c r="F52" s="327"/>
    </row>
    <row r="54" spans="1:12" ht="18.75">
      <c r="A54" s="331" t="s">
        <v>1</v>
      </c>
      <c r="B54" s="332" t="s">
        <v>85</v>
      </c>
    </row>
    <row r="55" spans="1:12" ht="18.75">
      <c r="A55" s="255" t="s">
        <v>86</v>
      </c>
      <c r="B55" s="333" t="str">
        <f>B21</f>
        <v>Each tablet contains: Sulphamethoxazole B.P. 800 mg and Trimethoprim B.P. 160 mg.</v>
      </c>
    </row>
    <row r="56" spans="1:12" ht="26.25" customHeight="1">
      <c r="A56" s="333" t="s">
        <v>87</v>
      </c>
      <c r="B56" s="334">
        <v>160</v>
      </c>
      <c r="C56" s="255" t="str">
        <f>B20</f>
        <v>Trimethoprim</v>
      </c>
      <c r="H56" s="313"/>
    </row>
    <row r="57" spans="1:12" ht="18.75">
      <c r="A57" s="333" t="s">
        <v>88</v>
      </c>
      <c r="B57" s="335">
        <f>Uniformity!C46</f>
        <v>1079.2715000000001</v>
      </c>
      <c r="H57" s="313"/>
    </row>
    <row r="58" spans="1:12" ht="19.5" customHeight="1" thickBot="1">
      <c r="H58" s="313"/>
    </row>
    <row r="59" spans="1:12" s="270" customFormat="1" ht="27" customHeight="1" thickBot="1">
      <c r="A59" s="281" t="s">
        <v>89</v>
      </c>
      <c r="B59" s="282">
        <v>100</v>
      </c>
      <c r="C59" s="255"/>
      <c r="D59" s="336" t="s">
        <v>90</v>
      </c>
      <c r="E59" s="337" t="s">
        <v>62</v>
      </c>
      <c r="F59" s="337" t="s">
        <v>63</v>
      </c>
      <c r="G59" s="337" t="s">
        <v>91</v>
      </c>
      <c r="H59" s="285" t="s">
        <v>92</v>
      </c>
      <c r="L59" s="271"/>
    </row>
    <row r="60" spans="1:12" s="270" customFormat="1" ht="26.25" customHeight="1">
      <c r="A60" s="283" t="s">
        <v>93</v>
      </c>
      <c r="B60" s="284">
        <v>2</v>
      </c>
      <c r="C60" s="527" t="s">
        <v>94</v>
      </c>
      <c r="D60" s="530">
        <f>Sulfamethoxazole!D60</f>
        <v>1095.45</v>
      </c>
      <c r="E60" s="338">
        <v>1</v>
      </c>
      <c r="F60" s="339">
        <v>2692279</v>
      </c>
      <c r="G60" s="340">
        <f>IF(ISBLANK(F60),"-",(F60/$D$50*$D$47*$B$68)*($B$57/$D$60))</f>
        <v>148.63324560909498</v>
      </c>
      <c r="H60" s="341">
        <f t="shared" ref="H60:H71" si="0">IF(ISBLANK(F60),"-",(G60/$B$56)*100)</f>
        <v>92.895778505684362</v>
      </c>
      <c r="L60" s="271"/>
    </row>
    <row r="61" spans="1:12" s="270" customFormat="1" ht="26.25" customHeight="1">
      <c r="A61" s="283" t="s">
        <v>95</v>
      </c>
      <c r="B61" s="284">
        <v>100</v>
      </c>
      <c r="C61" s="528"/>
      <c r="D61" s="531"/>
      <c r="E61" s="342">
        <v>2</v>
      </c>
      <c r="F61" s="296">
        <v>2713345</v>
      </c>
      <c r="G61" s="343">
        <f>IF(ISBLANK(F61),"-",(F61/$D$50*$D$47*$B$68)*($B$57/$D$60))</f>
        <v>149.79624095690303</v>
      </c>
      <c r="H61" s="344">
        <f t="shared" si="0"/>
        <v>93.622650598064396</v>
      </c>
      <c r="L61" s="271"/>
    </row>
    <row r="62" spans="1:12" s="270" customFormat="1" ht="26.25" customHeight="1">
      <c r="A62" s="283" t="s">
        <v>96</v>
      </c>
      <c r="B62" s="284">
        <v>1</v>
      </c>
      <c r="C62" s="528"/>
      <c r="D62" s="531"/>
      <c r="E62" s="342">
        <v>3</v>
      </c>
      <c r="F62" s="345">
        <v>2785294</v>
      </c>
      <c r="G62" s="343">
        <f>IF(ISBLANK(F62),"-",(F62/$D$50*$D$47*$B$68)*($B$57/$D$60))</f>
        <v>153.76834540385255</v>
      </c>
      <c r="H62" s="344">
        <f t="shared" si="0"/>
        <v>96.105215877407844</v>
      </c>
      <c r="L62" s="271"/>
    </row>
    <row r="63" spans="1:12" ht="27" customHeight="1" thickBot="1">
      <c r="A63" s="283" t="s">
        <v>97</v>
      </c>
      <c r="B63" s="284">
        <v>1</v>
      </c>
      <c r="C63" s="529"/>
      <c r="D63" s="532"/>
      <c r="E63" s="346">
        <v>4</v>
      </c>
      <c r="F63" s="347"/>
      <c r="G63" s="343" t="str">
        <f>IF(ISBLANK(F63),"-",(F63/$D$50*$D$47*$B$68)*($B$57/$D$60))</f>
        <v>-</v>
      </c>
      <c r="H63" s="344" t="str">
        <f t="shared" si="0"/>
        <v>-</v>
      </c>
    </row>
    <row r="64" spans="1:12" ht="26.25" customHeight="1">
      <c r="A64" s="283" t="s">
        <v>98</v>
      </c>
      <c r="B64" s="284">
        <v>1</v>
      </c>
      <c r="C64" s="527" t="s">
        <v>99</v>
      </c>
      <c r="D64" s="530">
        <f>Sulfamethoxazole!D64</f>
        <v>1067.4100000000001</v>
      </c>
      <c r="E64" s="338">
        <v>1</v>
      </c>
      <c r="F64" s="339">
        <v>2672862</v>
      </c>
      <c r="G64" s="340">
        <f>IF(ISBLANK(F64),"-",(F64/$D$50*$D$47*$B$68)*($B$57/$D$64))</f>
        <v>151.43760299460513</v>
      </c>
      <c r="H64" s="341">
        <f t="shared" si="0"/>
        <v>94.648501871628213</v>
      </c>
    </row>
    <row r="65" spans="1:8" ht="26.25" customHeight="1">
      <c r="A65" s="283" t="s">
        <v>100</v>
      </c>
      <c r="B65" s="284">
        <v>1</v>
      </c>
      <c r="C65" s="528"/>
      <c r="D65" s="531"/>
      <c r="E65" s="342">
        <v>2</v>
      </c>
      <c r="F65" s="296">
        <v>2680061</v>
      </c>
      <c r="G65" s="343">
        <f>IF(ISBLANK(F65),"-",(F65/$D$50*$D$47*$B$68)*($B$57/$D$64))</f>
        <v>151.84548013302759</v>
      </c>
      <c r="H65" s="344">
        <f t="shared" si="0"/>
        <v>94.903425083142253</v>
      </c>
    </row>
    <row r="66" spans="1:8" ht="26.25" customHeight="1">
      <c r="A66" s="283" t="s">
        <v>101</v>
      </c>
      <c r="B66" s="284">
        <v>1</v>
      </c>
      <c r="C66" s="528"/>
      <c r="D66" s="531"/>
      <c r="E66" s="342">
        <v>3</v>
      </c>
      <c r="F66" s="296">
        <v>2682930</v>
      </c>
      <c r="G66" s="343">
        <f>IF(ISBLANK(F66),"-",(F66/$D$50*$D$47*$B$68)*($B$57/$D$64))</f>
        <v>152.00803041919707</v>
      </c>
      <c r="H66" s="344">
        <f t="shared" si="0"/>
        <v>95.005019011998172</v>
      </c>
    </row>
    <row r="67" spans="1:8" ht="27" customHeight="1" thickBot="1">
      <c r="A67" s="283" t="s">
        <v>102</v>
      </c>
      <c r="B67" s="284">
        <v>1</v>
      </c>
      <c r="C67" s="529"/>
      <c r="D67" s="532"/>
      <c r="E67" s="346">
        <v>4</v>
      </c>
      <c r="F67" s="347"/>
      <c r="G67" s="348" t="str">
        <f>IF(ISBLANK(F67),"-",(F67/$D$50*$D$47*$B$68)*($B$57/$D$64))</f>
        <v>-</v>
      </c>
      <c r="H67" s="349" t="str">
        <f t="shared" si="0"/>
        <v>-</v>
      </c>
    </row>
    <row r="68" spans="1:8" ht="26.25" customHeight="1">
      <c r="A68" s="283" t="s">
        <v>103</v>
      </c>
      <c r="B68" s="350">
        <f>(B67/B66)*(B65/B64)*(B63/B62)*(B61/B60)*B59</f>
        <v>5000</v>
      </c>
      <c r="C68" s="527" t="s">
        <v>104</v>
      </c>
      <c r="D68" s="530">
        <f>Sulfamethoxazole!D68</f>
        <v>1081.07</v>
      </c>
      <c r="E68" s="338">
        <v>1</v>
      </c>
      <c r="F68" s="339">
        <v>2704555</v>
      </c>
      <c r="G68" s="340">
        <f>IF(ISBLANK(F68),"-",(F68/$D$50*$D$47*$B$68)*($B$57/$D$68))</f>
        <v>151.29704968945268</v>
      </c>
      <c r="H68" s="344">
        <f t="shared" si="0"/>
        <v>94.560656055907927</v>
      </c>
    </row>
    <row r="69" spans="1:8" ht="27" customHeight="1" thickBot="1">
      <c r="A69" s="329" t="s">
        <v>105</v>
      </c>
      <c r="B69" s="351">
        <f>(D47*B68)/B56*B57</f>
        <v>1079.2715000000001</v>
      </c>
      <c r="C69" s="528"/>
      <c r="D69" s="531"/>
      <c r="E69" s="342">
        <v>2</v>
      </c>
      <c r="F69" s="296">
        <v>2708934</v>
      </c>
      <c r="G69" s="343">
        <f>IF(ISBLANK(F69),"-",(F69/$D$50*$D$47*$B$68)*($B$57/$D$68))</f>
        <v>151.5420178193632</v>
      </c>
      <c r="H69" s="344">
        <f t="shared" si="0"/>
        <v>94.713761137101997</v>
      </c>
    </row>
    <row r="70" spans="1:8" ht="26.25" customHeight="1">
      <c r="A70" s="534" t="s">
        <v>78</v>
      </c>
      <c r="B70" s="535"/>
      <c r="C70" s="528"/>
      <c r="D70" s="531"/>
      <c r="E70" s="342">
        <v>3</v>
      </c>
      <c r="F70" s="296">
        <v>2713050</v>
      </c>
      <c r="G70" s="343">
        <f>IF(ISBLANK(F70),"-",(F70/$D$50*$D$47*$B$68)*($B$57/$D$68))</f>
        <v>151.7722733166712</v>
      </c>
      <c r="H70" s="344">
        <f t="shared" si="0"/>
        <v>94.857670822919502</v>
      </c>
    </row>
    <row r="71" spans="1:8" ht="27" customHeight="1" thickBot="1">
      <c r="A71" s="536"/>
      <c r="B71" s="537"/>
      <c r="C71" s="533"/>
      <c r="D71" s="532"/>
      <c r="E71" s="346">
        <v>4</v>
      </c>
      <c r="F71" s="347"/>
      <c r="G71" s="348" t="str">
        <f>IF(ISBLANK(F71),"-",(F71/$D$50*$D$47*$B$68)*($B$57/$D$68))</f>
        <v>-</v>
      </c>
      <c r="H71" s="349" t="str">
        <f t="shared" si="0"/>
        <v>-</v>
      </c>
    </row>
    <row r="72" spans="1:8" ht="26.25" customHeight="1">
      <c r="A72" s="313"/>
      <c r="B72" s="313"/>
      <c r="C72" s="313"/>
      <c r="D72" s="313"/>
      <c r="E72" s="313"/>
      <c r="F72" s="352" t="s">
        <v>71</v>
      </c>
      <c r="G72" s="353">
        <f>AVERAGE(G60:G71)</f>
        <v>151.34447626024081</v>
      </c>
      <c r="H72" s="354">
        <f>AVERAGE(H60:H71)</f>
        <v>94.590297662650499</v>
      </c>
    </row>
    <row r="73" spans="1:8" ht="26.25" customHeight="1">
      <c r="C73" s="313"/>
      <c r="D73" s="313"/>
      <c r="E73" s="313"/>
      <c r="F73" s="355" t="s">
        <v>84</v>
      </c>
      <c r="G73" s="356">
        <f>STDEV(G60:G71)/G72</f>
        <v>9.5027831039420328E-3</v>
      </c>
      <c r="H73" s="356">
        <f>STDEV(H60:H71)/H72</f>
        <v>9.5027831039390248E-3</v>
      </c>
    </row>
    <row r="74" spans="1:8" ht="27" customHeight="1" thickBot="1">
      <c r="A74" s="313"/>
      <c r="B74" s="313"/>
      <c r="C74" s="313"/>
      <c r="D74" s="313"/>
      <c r="E74" s="315"/>
      <c r="F74" s="357" t="s">
        <v>20</v>
      </c>
      <c r="G74" s="358">
        <f>COUNT(G60:G71)</f>
        <v>9</v>
      </c>
      <c r="H74" s="358">
        <f>COUNT(H60:H71)</f>
        <v>9</v>
      </c>
    </row>
    <row r="76" spans="1:8" ht="26.25" customHeight="1">
      <c r="A76" s="266" t="s">
        <v>106</v>
      </c>
      <c r="B76" s="267" t="s">
        <v>107</v>
      </c>
      <c r="C76" s="516" t="str">
        <f>B26</f>
        <v>TRIMETHOPRIM</v>
      </c>
      <c r="D76" s="516"/>
      <c r="E76" s="255" t="s">
        <v>108</v>
      </c>
      <c r="F76" s="255"/>
      <c r="G76" s="359">
        <f>H72</f>
        <v>94.590297662650499</v>
      </c>
      <c r="H76" s="272"/>
    </row>
    <row r="77" spans="1:8" ht="18.75">
      <c r="A77" s="265" t="s">
        <v>109</v>
      </c>
      <c r="B77" s="265" t="s">
        <v>110</v>
      </c>
    </row>
    <row r="78" spans="1:8" ht="18.75">
      <c r="A78" s="265"/>
      <c r="B78" s="265"/>
    </row>
    <row r="79" spans="1:8" ht="26.25" customHeight="1">
      <c r="A79" s="266" t="s">
        <v>4</v>
      </c>
      <c r="B79" s="518" t="str">
        <f>B26</f>
        <v>TRIMETHOPRIM</v>
      </c>
      <c r="C79" s="518"/>
    </row>
    <row r="80" spans="1:8" ht="26.25" customHeight="1">
      <c r="A80" s="267" t="s">
        <v>48</v>
      </c>
      <c r="B80" s="518" t="str">
        <f>B27</f>
        <v>T7-4</v>
      </c>
      <c r="C80" s="518"/>
    </row>
    <row r="81" spans="1:12" ht="27" customHeight="1" thickBot="1">
      <c r="A81" s="267" t="s">
        <v>6</v>
      </c>
      <c r="B81" s="558">
        <f>B28</f>
        <v>99</v>
      </c>
    </row>
    <row r="82" spans="1:12" s="270" customFormat="1" ht="27" customHeight="1" thickBot="1">
      <c r="A82" s="267" t="s">
        <v>49</v>
      </c>
      <c r="B82" s="269">
        <v>0</v>
      </c>
      <c r="C82" s="519" t="s">
        <v>50</v>
      </c>
      <c r="D82" s="520"/>
      <c r="E82" s="520"/>
      <c r="F82" s="520"/>
      <c r="G82" s="521"/>
      <c r="I82" s="271"/>
      <c r="J82" s="271"/>
      <c r="K82" s="271"/>
      <c r="L82" s="271"/>
    </row>
    <row r="83" spans="1:12" s="270" customFormat="1" ht="19.5" customHeight="1" thickBot="1">
      <c r="A83" s="267" t="s">
        <v>51</v>
      </c>
      <c r="B83" s="272">
        <f>B81-B82</f>
        <v>99</v>
      </c>
      <c r="C83" s="273"/>
      <c r="D83" s="273"/>
      <c r="E83" s="273"/>
      <c r="F83" s="273"/>
      <c r="G83" s="274"/>
      <c r="I83" s="271"/>
      <c r="J83" s="271"/>
      <c r="K83" s="271"/>
      <c r="L83" s="271"/>
    </row>
    <row r="84" spans="1:12" s="270" customFormat="1" ht="27" customHeight="1" thickBot="1">
      <c r="A84" s="267" t="s">
        <v>52</v>
      </c>
      <c r="B84" s="275">
        <v>1</v>
      </c>
      <c r="C84" s="522" t="s">
        <v>111</v>
      </c>
      <c r="D84" s="523"/>
      <c r="E84" s="523"/>
      <c r="F84" s="523"/>
      <c r="G84" s="523"/>
      <c r="H84" s="524"/>
      <c r="I84" s="271"/>
      <c r="J84" s="271"/>
      <c r="K84" s="271"/>
      <c r="L84" s="271"/>
    </row>
    <row r="85" spans="1:12" s="270" customFormat="1" ht="27" customHeight="1" thickBot="1">
      <c r="A85" s="267" t="s">
        <v>54</v>
      </c>
      <c r="B85" s="275">
        <v>1</v>
      </c>
      <c r="C85" s="522" t="s">
        <v>112</v>
      </c>
      <c r="D85" s="523"/>
      <c r="E85" s="523"/>
      <c r="F85" s="523"/>
      <c r="G85" s="523"/>
      <c r="H85" s="524"/>
      <c r="I85" s="271"/>
      <c r="J85" s="271"/>
      <c r="K85" s="271"/>
      <c r="L85" s="271"/>
    </row>
    <row r="86" spans="1:12" s="270" customFormat="1" ht="18.75">
      <c r="A86" s="267"/>
      <c r="B86" s="278"/>
      <c r="C86" s="279"/>
      <c r="D86" s="279"/>
      <c r="E86" s="279"/>
      <c r="F86" s="279"/>
      <c r="G86" s="279"/>
      <c r="H86" s="279"/>
      <c r="I86" s="271"/>
      <c r="J86" s="271"/>
      <c r="K86" s="271"/>
      <c r="L86" s="271"/>
    </row>
    <row r="87" spans="1:12" s="270" customFormat="1" ht="18.75">
      <c r="A87" s="267" t="s">
        <v>56</v>
      </c>
      <c r="B87" s="280">
        <f>B84/B85</f>
        <v>1</v>
      </c>
      <c r="C87" s="255" t="s">
        <v>57</v>
      </c>
      <c r="D87" s="255"/>
      <c r="E87" s="255"/>
      <c r="F87" s="255"/>
      <c r="G87" s="255"/>
      <c r="I87" s="271"/>
      <c r="J87" s="271"/>
      <c r="K87" s="271"/>
      <c r="L87" s="271"/>
    </row>
    <row r="88" spans="1:12" ht="19.5" customHeight="1" thickBot="1">
      <c r="A88" s="265"/>
      <c r="B88" s="265"/>
    </row>
    <row r="89" spans="1:12" ht="27" customHeight="1" thickBot="1">
      <c r="A89" s="281" t="s">
        <v>58</v>
      </c>
      <c r="B89" s="282">
        <v>25</v>
      </c>
      <c r="D89" s="360" t="s">
        <v>59</v>
      </c>
      <c r="E89" s="361"/>
      <c r="F89" s="525" t="s">
        <v>60</v>
      </c>
      <c r="G89" s="526"/>
    </row>
    <row r="90" spans="1:12" ht="27" customHeight="1" thickBot="1">
      <c r="A90" s="283" t="s">
        <v>61</v>
      </c>
      <c r="B90" s="284">
        <v>4</v>
      </c>
      <c r="C90" s="362" t="s">
        <v>62</v>
      </c>
      <c r="D90" s="286" t="s">
        <v>63</v>
      </c>
      <c r="E90" s="287" t="s">
        <v>64</v>
      </c>
      <c r="F90" s="286" t="s">
        <v>63</v>
      </c>
      <c r="G90" s="363" t="s">
        <v>64</v>
      </c>
      <c r="I90" s="289" t="s">
        <v>65</v>
      </c>
    </row>
    <row r="91" spans="1:12" ht="26.25" customHeight="1">
      <c r="A91" s="283" t="s">
        <v>66</v>
      </c>
      <c r="B91" s="284">
        <v>100</v>
      </c>
      <c r="C91" s="364">
        <v>1</v>
      </c>
      <c r="D91" s="291">
        <v>3025304</v>
      </c>
      <c r="E91" s="292">
        <f>IF(ISBLANK(D91),"-",$D$101/$D$98*D91)</f>
        <v>3192668.4702111748</v>
      </c>
      <c r="F91" s="291">
        <v>2804627</v>
      </c>
      <c r="G91" s="293">
        <f>IF(ISBLANK(F91),"-",$D$101/$F$98*F91)</f>
        <v>3154037.5925813466</v>
      </c>
      <c r="I91" s="294"/>
    </row>
    <row r="92" spans="1:12" ht="26.25" customHeight="1">
      <c r="A92" s="283" t="s">
        <v>67</v>
      </c>
      <c r="B92" s="284">
        <v>1</v>
      </c>
      <c r="C92" s="313">
        <v>2</v>
      </c>
      <c r="D92" s="296">
        <v>3035530</v>
      </c>
      <c r="E92" s="297">
        <f>IF(ISBLANK(D92),"-",$D$101/$D$98*D92)</f>
        <v>3203460.1882588086</v>
      </c>
      <c r="F92" s="296">
        <v>2792114</v>
      </c>
      <c r="G92" s="298">
        <f>IF(ISBLANK(F92),"-",$D$101/$F$98*F92)</f>
        <v>3139965.6777078286</v>
      </c>
      <c r="I92" s="507">
        <f>ABS((F96/D96*D95)-F95)/D95</f>
        <v>1.6763068435608479E-2</v>
      </c>
    </row>
    <row r="93" spans="1:12" ht="26.25" customHeight="1">
      <c r="A93" s="283" t="s">
        <v>68</v>
      </c>
      <c r="B93" s="284">
        <v>1</v>
      </c>
      <c r="C93" s="313">
        <v>3</v>
      </c>
      <c r="D93" s="296">
        <v>3039400</v>
      </c>
      <c r="E93" s="297">
        <f>IF(ISBLANK(D93),"-",$D$101/$D$98*D93)</f>
        <v>3207544.2826108863</v>
      </c>
      <c r="F93" s="296">
        <v>2790470</v>
      </c>
      <c r="G93" s="298">
        <f>IF(ISBLANK(F93),"-",$D$101/$F$98*F93)</f>
        <v>3138116.8622317584</v>
      </c>
      <c r="I93" s="507"/>
    </row>
    <row r="94" spans="1:12" ht="27" customHeight="1" thickBot="1">
      <c r="A94" s="283" t="s">
        <v>69</v>
      </c>
      <c r="B94" s="284">
        <v>1</v>
      </c>
      <c r="C94" s="365">
        <v>4</v>
      </c>
      <c r="D94" s="300"/>
      <c r="E94" s="301" t="str">
        <f>IF(ISBLANK(D94),"-",$D$101/$D$98*D94)</f>
        <v>-</v>
      </c>
      <c r="F94" s="366"/>
      <c r="G94" s="302" t="str">
        <f>IF(ISBLANK(F94),"-",$D$101/$F$98*F94)</f>
        <v>-</v>
      </c>
      <c r="I94" s="303"/>
    </row>
    <row r="95" spans="1:12" ht="27" customHeight="1" thickBot="1">
      <c r="A95" s="283" t="s">
        <v>70</v>
      </c>
      <c r="B95" s="284">
        <v>1</v>
      </c>
      <c r="C95" s="267" t="s">
        <v>71</v>
      </c>
      <c r="D95" s="367">
        <f>AVERAGE(D91:D94)</f>
        <v>3033411.3333333335</v>
      </c>
      <c r="E95" s="306">
        <f>AVERAGE(E91:E94)</f>
        <v>3201224.3136936235</v>
      </c>
      <c r="F95" s="368">
        <f>AVERAGE(F91:F94)</f>
        <v>2795737</v>
      </c>
      <c r="G95" s="369">
        <f>AVERAGE(G91:G94)</f>
        <v>3144040.0441736444</v>
      </c>
    </row>
    <row r="96" spans="1:12" ht="26.25" customHeight="1">
      <c r="A96" s="283" t="s">
        <v>72</v>
      </c>
      <c r="B96" s="268">
        <v>1</v>
      </c>
      <c r="C96" s="370" t="s">
        <v>113</v>
      </c>
      <c r="D96" s="371">
        <v>21.27</v>
      </c>
      <c r="E96" s="255"/>
      <c r="F96" s="310">
        <v>19.96</v>
      </c>
    </row>
    <row r="97" spans="1:10" ht="26.25" customHeight="1">
      <c r="A97" s="283" t="s">
        <v>74</v>
      </c>
      <c r="B97" s="268">
        <v>1</v>
      </c>
      <c r="C97" s="372" t="s">
        <v>114</v>
      </c>
      <c r="D97" s="373">
        <f>D96*$B$87</f>
        <v>21.27</v>
      </c>
      <c r="E97" s="313"/>
      <c r="F97" s="312">
        <f>F96*$B$87</f>
        <v>19.96</v>
      </c>
    </row>
    <row r="98" spans="1:10" ht="19.5" customHeight="1" thickBot="1">
      <c r="A98" s="283" t="s">
        <v>76</v>
      </c>
      <c r="B98" s="313">
        <f>(B97/B96)*(B95/B94)*(B93/B92)*(B91/B90)*B89</f>
        <v>625</v>
      </c>
      <c r="C98" s="372" t="s">
        <v>115</v>
      </c>
      <c r="D98" s="374">
        <f>D97*$B$83/100</f>
        <v>21.057300000000001</v>
      </c>
      <c r="E98" s="315"/>
      <c r="F98" s="314">
        <f>F97*$B$83/100</f>
        <v>19.760400000000001</v>
      </c>
    </row>
    <row r="99" spans="1:10" ht="19.5" customHeight="1" thickBot="1">
      <c r="A99" s="508" t="s">
        <v>78</v>
      </c>
      <c r="B99" s="509"/>
      <c r="C99" s="372" t="s">
        <v>116</v>
      </c>
      <c r="D99" s="375">
        <f>D98/$B$98</f>
        <v>3.3691680000000002E-2</v>
      </c>
      <c r="E99" s="315"/>
      <c r="F99" s="318">
        <f>F98/$B$98</f>
        <v>3.1616640000000001E-2</v>
      </c>
      <c r="H99" s="308"/>
    </row>
    <row r="100" spans="1:10" ht="19.5" customHeight="1" thickBot="1">
      <c r="A100" s="510"/>
      <c r="B100" s="511"/>
      <c r="C100" s="372" t="s">
        <v>80</v>
      </c>
      <c r="D100" s="376">
        <f>$B$56/$B$116</f>
        <v>3.5555555555555556E-2</v>
      </c>
      <c r="F100" s="323"/>
      <c r="G100" s="377"/>
      <c r="H100" s="308"/>
    </row>
    <row r="101" spans="1:10" ht="18.75">
      <c r="C101" s="372" t="s">
        <v>81</v>
      </c>
      <c r="D101" s="373">
        <f>D100*$B$98</f>
        <v>22.222222222222221</v>
      </c>
      <c r="F101" s="323"/>
      <c r="H101" s="308"/>
    </row>
    <row r="102" spans="1:10" ht="19.5" customHeight="1" thickBot="1">
      <c r="C102" s="378" t="s">
        <v>82</v>
      </c>
      <c r="D102" s="379">
        <f>D101/B34</f>
        <v>22.222222222222221</v>
      </c>
      <c r="F102" s="327"/>
      <c r="H102" s="308"/>
      <c r="J102" s="380"/>
    </row>
    <row r="103" spans="1:10" ht="18.75">
      <c r="C103" s="381" t="s">
        <v>117</v>
      </c>
      <c r="D103" s="382">
        <f>AVERAGE(E91:E94,G91:G94)</f>
        <v>3172632.178933634</v>
      </c>
      <c r="F103" s="327"/>
      <c r="G103" s="377"/>
      <c r="H103" s="308"/>
      <c r="J103" s="383"/>
    </row>
    <row r="104" spans="1:10" ht="18.75">
      <c r="C104" s="355" t="s">
        <v>84</v>
      </c>
      <c r="D104" s="384">
        <f>STDEV(E91:E94,G91:G94)/D103</f>
        <v>1.0140135121004605E-2</v>
      </c>
      <c r="F104" s="327"/>
      <c r="H104" s="308"/>
      <c r="J104" s="383"/>
    </row>
    <row r="105" spans="1:10" ht="19.5" customHeight="1" thickBot="1">
      <c r="C105" s="357" t="s">
        <v>20</v>
      </c>
      <c r="D105" s="385">
        <f>COUNT(E91:E94,G91:G94)</f>
        <v>6</v>
      </c>
      <c r="F105" s="327"/>
      <c r="H105" s="308"/>
      <c r="J105" s="383"/>
    </row>
    <row r="106" spans="1:10" ht="19.5" customHeight="1" thickBot="1">
      <c r="A106" s="331"/>
      <c r="B106" s="331"/>
      <c r="C106" s="331"/>
      <c r="D106" s="331"/>
      <c r="E106" s="331"/>
    </row>
    <row r="107" spans="1:10" ht="27" customHeight="1" thickBot="1">
      <c r="A107" s="281" t="s">
        <v>118</v>
      </c>
      <c r="B107" s="282">
        <v>900</v>
      </c>
      <c r="C107" s="337" t="s">
        <v>119</v>
      </c>
      <c r="D107" s="337" t="s">
        <v>63</v>
      </c>
      <c r="E107" s="337" t="s">
        <v>120</v>
      </c>
      <c r="F107" s="386" t="s">
        <v>121</v>
      </c>
    </row>
    <row r="108" spans="1:10" ht="26.25" customHeight="1">
      <c r="A108" s="283" t="s">
        <v>122</v>
      </c>
      <c r="B108" s="284">
        <v>10</v>
      </c>
      <c r="C108" s="338">
        <v>1</v>
      </c>
      <c r="D108" s="387">
        <v>2535320</v>
      </c>
      <c r="E108" s="388">
        <f t="shared" ref="E108:E113" si="1">IF(ISBLANK(D108),"-",D108/$D$103*$D$100*$B$116)</f>
        <v>127.8595113210839</v>
      </c>
      <c r="F108" s="389">
        <f t="shared" ref="F108:F113" si="2">IF(ISBLANK(D108), "-", (E108/$B$56)*100)</f>
        <v>79.912194575677447</v>
      </c>
    </row>
    <row r="109" spans="1:10" ht="26.25" customHeight="1">
      <c r="A109" s="283" t="s">
        <v>95</v>
      </c>
      <c r="B109" s="284">
        <v>50</v>
      </c>
      <c r="C109" s="342">
        <v>2</v>
      </c>
      <c r="D109" s="390">
        <v>2531733</v>
      </c>
      <c r="E109" s="391">
        <f t="shared" si="1"/>
        <v>127.67861420864493</v>
      </c>
      <c r="F109" s="392">
        <f t="shared" si="2"/>
        <v>79.79913388040309</v>
      </c>
    </row>
    <row r="110" spans="1:10" ht="26.25" customHeight="1">
      <c r="A110" s="283" t="s">
        <v>96</v>
      </c>
      <c r="B110" s="284">
        <v>1</v>
      </c>
      <c r="C110" s="342">
        <v>3</v>
      </c>
      <c r="D110" s="390">
        <v>2526869</v>
      </c>
      <c r="E110" s="391">
        <f t="shared" si="1"/>
        <v>127.43331631210101</v>
      </c>
      <c r="F110" s="392">
        <f t="shared" si="2"/>
        <v>79.645822695063131</v>
      </c>
    </row>
    <row r="111" spans="1:10" ht="26.25" customHeight="1">
      <c r="A111" s="283" t="s">
        <v>97</v>
      </c>
      <c r="B111" s="284">
        <v>1</v>
      </c>
      <c r="C111" s="342">
        <v>4</v>
      </c>
      <c r="D111" s="390">
        <v>2523016</v>
      </c>
      <c r="E111" s="391">
        <f t="shared" si="1"/>
        <v>127.23900447094482</v>
      </c>
      <c r="F111" s="392">
        <f t="shared" si="2"/>
        <v>79.524377794340523</v>
      </c>
    </row>
    <row r="112" spans="1:10" ht="26.25" customHeight="1">
      <c r="A112" s="283" t="s">
        <v>98</v>
      </c>
      <c r="B112" s="284">
        <v>1</v>
      </c>
      <c r="C112" s="342">
        <v>5</v>
      </c>
      <c r="D112" s="390">
        <v>2522653</v>
      </c>
      <c r="E112" s="391">
        <f t="shared" si="1"/>
        <v>127.22069790506374</v>
      </c>
      <c r="F112" s="392">
        <f t="shared" si="2"/>
        <v>79.512936190664846</v>
      </c>
    </row>
    <row r="113" spans="1:10" ht="27" customHeight="1" thickBot="1">
      <c r="A113" s="283" t="s">
        <v>100</v>
      </c>
      <c r="B113" s="284">
        <v>1</v>
      </c>
      <c r="C113" s="346">
        <v>6</v>
      </c>
      <c r="D113" s="393">
        <v>2926336</v>
      </c>
      <c r="E113" s="394">
        <f t="shared" si="1"/>
        <v>147.57896081019175</v>
      </c>
      <c r="F113" s="395">
        <f t="shared" si="2"/>
        <v>92.236850506369834</v>
      </c>
    </row>
    <row r="114" spans="1:10" ht="27" customHeight="1" thickBot="1">
      <c r="A114" s="283" t="s">
        <v>101</v>
      </c>
      <c r="B114" s="284">
        <v>1</v>
      </c>
      <c r="C114" s="396"/>
      <c r="D114" s="313"/>
      <c r="E114" s="255"/>
      <c r="F114" s="392"/>
    </row>
    <row r="115" spans="1:10" ht="26.25" customHeight="1">
      <c r="A115" s="283" t="s">
        <v>102</v>
      </c>
      <c r="B115" s="284">
        <v>1</v>
      </c>
      <c r="C115" s="396"/>
      <c r="D115" s="397" t="s">
        <v>71</v>
      </c>
      <c r="E115" s="398">
        <f>AVERAGE(E108:E113)</f>
        <v>130.8350175046717</v>
      </c>
      <c r="F115" s="399">
        <f>AVERAGE(F108:F113)</f>
        <v>81.771885940419807</v>
      </c>
    </row>
    <row r="116" spans="1:10" ht="27" customHeight="1" thickBot="1">
      <c r="A116" s="283" t="s">
        <v>103</v>
      </c>
      <c r="B116" s="295">
        <f>(B115/B114)*(B113/B112)*(B111/B110)*(B109/B108)*B107</f>
        <v>4500</v>
      </c>
      <c r="C116" s="400"/>
      <c r="D116" s="401" t="s">
        <v>84</v>
      </c>
      <c r="E116" s="356">
        <f>STDEV(E108:E113)/E115</f>
        <v>6.2724883843224249E-2</v>
      </c>
      <c r="F116" s="402">
        <f>STDEV(F108:F113)/F115</f>
        <v>6.2724883843223056E-2</v>
      </c>
      <c r="I116" s="255"/>
    </row>
    <row r="117" spans="1:10" ht="27" customHeight="1" thickBot="1">
      <c r="A117" s="508" t="s">
        <v>78</v>
      </c>
      <c r="B117" s="512"/>
      <c r="C117" s="403"/>
      <c r="D117" s="357" t="s">
        <v>20</v>
      </c>
      <c r="E117" s="404">
        <f>COUNT(E108:E113)</f>
        <v>6</v>
      </c>
      <c r="F117" s="405">
        <f>COUNT(F108:F113)</f>
        <v>6</v>
      </c>
      <c r="I117" s="255"/>
      <c r="J117" s="383"/>
    </row>
    <row r="118" spans="1:10" ht="26.25" customHeight="1" thickBot="1">
      <c r="A118" s="510"/>
      <c r="B118" s="513"/>
      <c r="C118" s="255"/>
      <c r="D118" s="406"/>
      <c r="E118" s="514" t="s">
        <v>123</v>
      </c>
      <c r="F118" s="515"/>
      <c r="G118" s="255"/>
      <c r="H118" s="255"/>
      <c r="I118" s="255"/>
    </row>
    <row r="119" spans="1:10" ht="25.5" customHeight="1">
      <c r="A119" s="407"/>
      <c r="B119" s="279"/>
      <c r="C119" s="255"/>
      <c r="D119" s="401" t="s">
        <v>124</v>
      </c>
      <c r="E119" s="408">
        <f>MIN(E108:E113)</f>
        <v>127.22069790506374</v>
      </c>
      <c r="F119" s="409">
        <f>MIN(F108:F113)</f>
        <v>79.512936190664846</v>
      </c>
      <c r="G119" s="255"/>
      <c r="H119" s="255"/>
      <c r="I119" s="255"/>
    </row>
    <row r="120" spans="1:10" ht="24" customHeight="1" thickBot="1">
      <c r="A120" s="407"/>
      <c r="B120" s="279"/>
      <c r="C120" s="255"/>
      <c r="D120" s="324" t="s">
        <v>125</v>
      </c>
      <c r="E120" s="410">
        <f>MAX(E108:E113)</f>
        <v>147.57896081019175</v>
      </c>
      <c r="F120" s="411">
        <f>MAX(F108:F113)</f>
        <v>92.236850506369834</v>
      </c>
      <c r="G120" s="255"/>
      <c r="H120" s="255"/>
      <c r="I120" s="255"/>
    </row>
    <row r="121" spans="1:10" ht="27" customHeight="1">
      <c r="A121" s="407"/>
      <c r="B121" s="279"/>
      <c r="C121" s="255"/>
      <c r="D121" s="255"/>
      <c r="E121" s="255"/>
      <c r="F121" s="313"/>
      <c r="G121" s="255"/>
      <c r="H121" s="255"/>
      <c r="I121" s="255"/>
    </row>
    <row r="122" spans="1:10" ht="25.5" customHeight="1">
      <c r="A122" s="407"/>
      <c r="B122" s="279"/>
      <c r="C122" s="255"/>
      <c r="D122" s="255"/>
      <c r="E122" s="255"/>
      <c r="F122" s="313"/>
      <c r="G122" s="255"/>
      <c r="H122" s="255"/>
      <c r="I122" s="255"/>
    </row>
    <row r="123" spans="1:10" ht="18.75">
      <c r="A123" s="407"/>
      <c r="B123" s="279"/>
      <c r="C123" s="255"/>
      <c r="D123" s="255"/>
      <c r="E123" s="255"/>
      <c r="F123" s="313"/>
      <c r="G123" s="255"/>
      <c r="H123" s="255"/>
      <c r="I123" s="255"/>
    </row>
    <row r="124" spans="1:10" ht="45.75" customHeight="1">
      <c r="A124" s="266" t="s">
        <v>106</v>
      </c>
      <c r="B124" s="267" t="s">
        <v>126</v>
      </c>
      <c r="C124" s="516" t="str">
        <f>B26</f>
        <v>TRIMETHOPRIM</v>
      </c>
      <c r="D124" s="516"/>
      <c r="E124" s="255" t="s">
        <v>127</v>
      </c>
      <c r="F124" s="255"/>
      <c r="G124" s="412">
        <f>F115</f>
        <v>81.771885940419807</v>
      </c>
      <c r="H124" s="255"/>
      <c r="I124" s="255"/>
    </row>
    <row r="125" spans="1:10" ht="45.75" customHeight="1">
      <c r="A125" s="266"/>
      <c r="B125" s="267" t="s">
        <v>128</v>
      </c>
      <c r="C125" s="267" t="s">
        <v>129</v>
      </c>
      <c r="D125" s="412">
        <f>MIN(F108:F113)</f>
        <v>79.512936190664846</v>
      </c>
      <c r="E125" s="267" t="s">
        <v>130</v>
      </c>
      <c r="F125" s="412">
        <f>MAX(F108:F113)</f>
        <v>92.236850506369834</v>
      </c>
      <c r="G125" s="413"/>
      <c r="H125" s="255"/>
      <c r="I125" s="255"/>
    </row>
    <row r="126" spans="1:10" ht="19.5" customHeight="1" thickBot="1">
      <c r="A126" s="414"/>
      <c r="B126" s="414"/>
      <c r="C126" s="415"/>
      <c r="D126" s="415"/>
      <c r="E126" s="415"/>
      <c r="F126" s="415"/>
      <c r="G126" s="415"/>
      <c r="H126" s="415"/>
    </row>
    <row r="127" spans="1:10" ht="18.75">
      <c r="B127" s="517" t="s">
        <v>26</v>
      </c>
      <c r="C127" s="517"/>
      <c r="E127" s="362" t="s">
        <v>27</v>
      </c>
      <c r="F127" s="416"/>
      <c r="G127" s="517" t="s">
        <v>28</v>
      </c>
      <c r="H127" s="517"/>
    </row>
    <row r="128" spans="1:10" ht="69.95" customHeight="1">
      <c r="A128" s="266" t="s">
        <v>29</v>
      </c>
      <c r="B128" s="417"/>
      <c r="C128" s="417"/>
      <c r="E128" s="417"/>
      <c r="F128" s="255"/>
      <c r="G128" s="417"/>
      <c r="H128" s="417"/>
    </row>
    <row r="129" spans="1:9" ht="69.95" customHeight="1">
      <c r="A129" s="266" t="s">
        <v>30</v>
      </c>
      <c r="B129" s="418"/>
      <c r="C129" s="418"/>
      <c r="E129" s="418"/>
      <c r="F129" s="255"/>
      <c r="G129" s="419"/>
      <c r="H129" s="419"/>
    </row>
    <row r="130" spans="1:9" ht="18.75">
      <c r="A130" s="313"/>
      <c r="B130" s="313"/>
      <c r="C130" s="313"/>
      <c r="D130" s="313"/>
      <c r="E130" s="313"/>
      <c r="F130" s="315"/>
      <c r="G130" s="313"/>
      <c r="H130" s="313"/>
      <c r="I130" s="255"/>
    </row>
    <row r="131" spans="1:9" ht="18.75">
      <c r="A131" s="313"/>
      <c r="B131" s="313"/>
      <c r="C131" s="313"/>
      <c r="D131" s="313"/>
      <c r="E131" s="313"/>
      <c r="F131" s="315"/>
      <c r="G131" s="313"/>
      <c r="H131" s="313"/>
      <c r="I131" s="255"/>
    </row>
    <row r="132" spans="1:9" ht="18.75">
      <c r="A132" s="313"/>
      <c r="B132" s="313"/>
      <c r="C132" s="313"/>
      <c r="D132" s="313"/>
      <c r="E132" s="313"/>
      <c r="F132" s="315"/>
      <c r="G132" s="313"/>
      <c r="H132" s="313"/>
      <c r="I132" s="255"/>
    </row>
    <row r="133" spans="1:9" ht="18.75">
      <c r="A133" s="313"/>
      <c r="B133" s="313"/>
      <c r="C133" s="313"/>
      <c r="D133" s="313"/>
      <c r="E133" s="313"/>
      <c r="F133" s="315"/>
      <c r="G133" s="313"/>
      <c r="H133" s="313"/>
      <c r="I133" s="255"/>
    </row>
    <row r="134" spans="1:9" ht="18.75">
      <c r="A134" s="313"/>
      <c r="B134" s="313"/>
      <c r="C134" s="313"/>
      <c r="D134" s="313"/>
      <c r="E134" s="313"/>
      <c r="F134" s="315"/>
      <c r="G134" s="313"/>
      <c r="H134" s="313"/>
      <c r="I134" s="255"/>
    </row>
    <row r="135" spans="1:9" ht="18.75">
      <c r="A135" s="313"/>
      <c r="B135" s="313"/>
      <c r="C135" s="313"/>
      <c r="D135" s="313"/>
      <c r="E135" s="313"/>
      <c r="F135" s="315"/>
      <c r="G135" s="313"/>
      <c r="H135" s="313"/>
      <c r="I135" s="255"/>
    </row>
    <row r="136" spans="1:9" ht="18.75">
      <c r="A136" s="313"/>
      <c r="B136" s="313"/>
      <c r="C136" s="313"/>
      <c r="D136" s="313"/>
      <c r="E136" s="313"/>
      <c r="F136" s="315"/>
      <c r="G136" s="313"/>
      <c r="H136" s="313"/>
      <c r="I136" s="255"/>
    </row>
    <row r="137" spans="1:9" ht="18.75">
      <c r="A137" s="313"/>
      <c r="B137" s="313"/>
      <c r="C137" s="313"/>
      <c r="D137" s="313"/>
      <c r="E137" s="313"/>
      <c r="F137" s="315"/>
      <c r="G137" s="313"/>
      <c r="H137" s="313"/>
      <c r="I137" s="255"/>
    </row>
    <row r="138" spans="1:9" ht="18.75">
      <c r="A138" s="313"/>
      <c r="B138" s="313"/>
      <c r="C138" s="313"/>
      <c r="D138" s="313"/>
      <c r="E138" s="313"/>
      <c r="F138" s="315"/>
      <c r="G138" s="313"/>
      <c r="H138" s="313"/>
      <c r="I138" s="255"/>
    </row>
    <row r="250" spans="1:1">
      <c r="A250" s="254">
        <v>0</v>
      </c>
    </row>
  </sheetData>
  <sheetProtection password="F258" sheet="1" objects="1" scenarios="1" formatCells="0" formatColumns="0"/>
  <mergeCells count="37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B127:C127"/>
    <mergeCell ref="G127:H127"/>
    <mergeCell ref="B79:C79"/>
    <mergeCell ref="B80:C80"/>
    <mergeCell ref="C82:G82"/>
    <mergeCell ref="C84:H84"/>
    <mergeCell ref="C85:H85"/>
    <mergeCell ref="F89:G89"/>
    <mergeCell ref="I92:I93"/>
    <mergeCell ref="A99:B100"/>
    <mergeCell ref="A117:B118"/>
    <mergeCell ref="E118:F118"/>
    <mergeCell ref="C124:D124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rintOptions horizontalCentered="1" verticalCentered="1"/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4:I61"/>
  <sheetViews>
    <sheetView topLeftCell="A39" workbookViewId="0">
      <selection activeCell="A15" sqref="A15:H63"/>
    </sheetView>
  </sheetViews>
  <sheetFormatPr defaultRowHeight="13.5"/>
  <cols>
    <col min="1" max="1" width="27.5703125" style="421" customWidth="1"/>
    <col min="2" max="2" width="20.42578125" style="421" customWidth="1"/>
    <col min="3" max="3" width="31.85546875" style="421" customWidth="1"/>
    <col min="4" max="4" width="25.85546875" style="421" customWidth="1"/>
    <col min="5" max="5" width="25.7109375" style="421" customWidth="1"/>
    <col min="6" max="6" width="23.140625" style="421" customWidth="1"/>
    <col min="7" max="7" width="28.42578125" style="421" customWidth="1"/>
    <col min="8" max="8" width="21.5703125" style="421" customWidth="1"/>
    <col min="9" max="9" width="9.140625" style="421" customWidth="1"/>
    <col min="10" max="16384" width="9.140625" style="457"/>
  </cols>
  <sheetData>
    <row r="14" spans="1:6" ht="15" customHeight="1">
      <c r="A14" s="420"/>
      <c r="C14" s="422"/>
      <c r="F14" s="422"/>
    </row>
    <row r="15" spans="1:6" ht="18.75" customHeight="1">
      <c r="A15" s="548" t="s">
        <v>0</v>
      </c>
      <c r="B15" s="548"/>
      <c r="C15" s="548"/>
      <c r="D15" s="548"/>
      <c r="E15" s="548"/>
    </row>
    <row r="16" spans="1:6" ht="16.5" customHeight="1">
      <c r="A16" s="423" t="s">
        <v>1</v>
      </c>
      <c r="B16" s="424" t="s">
        <v>2</v>
      </c>
    </row>
    <row r="17" spans="1:5" ht="16.5" customHeight="1">
      <c r="A17" s="425" t="s">
        <v>3</v>
      </c>
      <c r="B17" s="425" t="s">
        <v>5</v>
      </c>
      <c r="D17" s="426"/>
      <c r="E17" s="427"/>
    </row>
    <row r="18" spans="1:5" ht="16.5" customHeight="1">
      <c r="A18" s="428" t="s">
        <v>4</v>
      </c>
      <c r="B18" s="421" t="s">
        <v>134</v>
      </c>
      <c r="C18" s="427"/>
      <c r="D18" s="427"/>
      <c r="E18" s="427"/>
    </row>
    <row r="19" spans="1:5" ht="16.5" customHeight="1">
      <c r="A19" s="428" t="s">
        <v>6</v>
      </c>
      <c r="B19" s="429">
        <v>99.3</v>
      </c>
      <c r="C19" s="427"/>
      <c r="D19" s="427"/>
      <c r="E19" s="427"/>
    </row>
    <row r="20" spans="1:5" ht="16.5" customHeight="1">
      <c r="A20" s="425" t="s">
        <v>8</v>
      </c>
      <c r="B20" s="429">
        <v>21.27</v>
      </c>
      <c r="C20" s="427"/>
      <c r="D20" s="427"/>
      <c r="E20" s="427"/>
    </row>
    <row r="21" spans="1:5" ht="16.5" customHeight="1">
      <c r="A21" s="425" t="s">
        <v>10</v>
      </c>
      <c r="B21" s="430">
        <f>B20/25*4/100</f>
        <v>3.4032E-2</v>
      </c>
      <c r="C21" s="427"/>
      <c r="D21" s="427"/>
      <c r="E21" s="427"/>
    </row>
    <row r="22" spans="1:5" ht="15.75" customHeight="1">
      <c r="A22" s="427"/>
      <c r="B22" s="427" t="s">
        <v>132</v>
      </c>
      <c r="C22" s="427"/>
      <c r="D22" s="427"/>
      <c r="E22" s="427"/>
    </row>
    <row r="23" spans="1:5" ht="16.5" customHeight="1">
      <c r="A23" s="431" t="s">
        <v>13</v>
      </c>
      <c r="B23" s="432" t="s">
        <v>14</v>
      </c>
      <c r="C23" s="431" t="s">
        <v>15</v>
      </c>
      <c r="D23" s="431" t="s">
        <v>16</v>
      </c>
      <c r="E23" s="431" t="s">
        <v>17</v>
      </c>
    </row>
    <row r="24" spans="1:5" ht="16.5" customHeight="1">
      <c r="A24" s="433">
        <v>1</v>
      </c>
      <c r="B24" s="434">
        <v>3051351</v>
      </c>
      <c r="C24" s="434">
        <v>5861.4</v>
      </c>
      <c r="D24" s="435">
        <v>1.4</v>
      </c>
      <c r="E24" s="436">
        <v>5.2</v>
      </c>
    </row>
    <row r="25" spans="1:5" ht="16.5" customHeight="1">
      <c r="A25" s="433">
        <v>2</v>
      </c>
      <c r="B25" s="434">
        <v>3061847</v>
      </c>
      <c r="C25" s="434">
        <v>5886.7</v>
      </c>
      <c r="D25" s="435">
        <v>1.4</v>
      </c>
      <c r="E25" s="435">
        <v>5.2</v>
      </c>
    </row>
    <row r="26" spans="1:5" ht="16.5" customHeight="1">
      <c r="A26" s="433">
        <v>3</v>
      </c>
      <c r="B26" s="434">
        <v>3051526</v>
      </c>
      <c r="C26" s="434">
        <v>5833.5</v>
      </c>
      <c r="D26" s="435">
        <v>1.4</v>
      </c>
      <c r="E26" s="435">
        <v>5.2</v>
      </c>
    </row>
    <row r="27" spans="1:5" ht="16.5" customHeight="1">
      <c r="A27" s="433">
        <v>4</v>
      </c>
      <c r="B27" s="434">
        <v>3065906</v>
      </c>
      <c r="C27" s="434">
        <v>5829.9</v>
      </c>
      <c r="D27" s="435">
        <v>1.4</v>
      </c>
      <c r="E27" s="435">
        <v>5.2</v>
      </c>
    </row>
    <row r="28" spans="1:5" ht="16.5" customHeight="1">
      <c r="A28" s="433">
        <v>5</v>
      </c>
      <c r="B28" s="434">
        <v>3060682</v>
      </c>
      <c r="C28" s="434">
        <v>5826.2</v>
      </c>
      <c r="D28" s="435">
        <v>1.4</v>
      </c>
      <c r="E28" s="435">
        <v>5.2</v>
      </c>
    </row>
    <row r="29" spans="1:5" ht="16.5" customHeight="1">
      <c r="A29" s="433">
        <v>6</v>
      </c>
      <c r="B29" s="437">
        <v>3042921</v>
      </c>
      <c r="C29" s="437">
        <v>5827.1</v>
      </c>
      <c r="D29" s="438">
        <v>1.4</v>
      </c>
      <c r="E29" s="438">
        <v>5.2</v>
      </c>
    </row>
    <row r="30" spans="1:5" ht="16.5" customHeight="1">
      <c r="A30" s="439" t="s">
        <v>18</v>
      </c>
      <c r="B30" s="440">
        <f>AVERAGE(B24:B29)</f>
        <v>3055705.5</v>
      </c>
      <c r="C30" s="441">
        <f>AVERAGE(C24:C29)</f>
        <v>5844.1333333333341</v>
      </c>
      <c r="D30" s="442">
        <f>AVERAGE(D24:D29)</f>
        <v>1.4000000000000001</v>
      </c>
      <c r="E30" s="442">
        <f>AVERAGE(E24:E29)</f>
        <v>5.2</v>
      </c>
    </row>
    <row r="31" spans="1:5" ht="16.5" customHeight="1">
      <c r="A31" s="443" t="s">
        <v>19</v>
      </c>
      <c r="B31" s="444">
        <f>(STDEV(B24:B29)/B30)</f>
        <v>2.8014665771172453E-3</v>
      </c>
      <c r="C31" s="445"/>
      <c r="D31" s="445"/>
      <c r="E31" s="446"/>
    </row>
    <row r="32" spans="1:5" s="421" customFormat="1" ht="16.5" customHeight="1">
      <c r="A32" s="447" t="s">
        <v>20</v>
      </c>
      <c r="B32" s="448">
        <f>COUNT(B24:B29)</f>
        <v>6</v>
      </c>
      <c r="C32" s="449"/>
      <c r="D32" s="450"/>
      <c r="E32" s="451"/>
    </row>
    <row r="33" spans="1:5" s="421" customFormat="1" ht="15.75" customHeight="1">
      <c r="A33" s="427"/>
      <c r="B33" s="427"/>
      <c r="C33" s="427"/>
      <c r="D33" s="427"/>
      <c r="E33" s="427"/>
    </row>
    <row r="34" spans="1:5" s="421" customFormat="1" ht="16.5" customHeight="1">
      <c r="A34" s="428" t="s">
        <v>21</v>
      </c>
      <c r="B34" s="452" t="s">
        <v>22</v>
      </c>
      <c r="C34" s="453"/>
      <c r="D34" s="453"/>
      <c r="E34" s="453"/>
    </row>
    <row r="35" spans="1:5" ht="16.5" customHeight="1">
      <c r="A35" s="428"/>
      <c r="B35" s="452" t="s">
        <v>23</v>
      </c>
      <c r="C35" s="453"/>
      <c r="D35" s="453"/>
      <c r="E35" s="453"/>
    </row>
    <row r="36" spans="1:5" ht="16.5" customHeight="1">
      <c r="A36" s="428"/>
      <c r="B36" s="452" t="s">
        <v>24</v>
      </c>
      <c r="C36" s="453"/>
      <c r="D36" s="453"/>
      <c r="E36" s="453"/>
    </row>
    <row r="37" spans="1:5" ht="15.75" customHeight="1">
      <c r="A37" s="427"/>
      <c r="B37" s="427"/>
      <c r="C37" s="427"/>
      <c r="D37" s="427"/>
      <c r="E37" s="427"/>
    </row>
    <row r="38" spans="1:5" ht="16.5" customHeight="1">
      <c r="A38" s="423" t="s">
        <v>1</v>
      </c>
      <c r="B38" s="424" t="s">
        <v>25</v>
      </c>
    </row>
    <row r="39" spans="1:5" ht="16.5" customHeight="1">
      <c r="A39" s="428" t="s">
        <v>4</v>
      </c>
      <c r="B39" s="425" t="s">
        <v>131</v>
      </c>
      <c r="C39" s="427"/>
      <c r="D39" s="427"/>
      <c r="E39" s="427"/>
    </row>
    <row r="40" spans="1:5" ht="16.5" customHeight="1">
      <c r="A40" s="428" t="s">
        <v>6</v>
      </c>
      <c r="B40" s="429">
        <v>99.3</v>
      </c>
      <c r="C40" s="427"/>
      <c r="D40" s="427"/>
      <c r="E40" s="427"/>
    </row>
    <row r="41" spans="1:5" ht="16.5" customHeight="1">
      <c r="A41" s="425" t="s">
        <v>8</v>
      </c>
      <c r="B41" s="429">
        <v>21.27</v>
      </c>
      <c r="C41" s="427"/>
      <c r="D41" s="427"/>
      <c r="E41" s="427"/>
    </row>
    <row r="42" spans="1:5" ht="16.5" customHeight="1">
      <c r="A42" s="425" t="s">
        <v>10</v>
      </c>
      <c r="B42" s="430">
        <v>3.4032E-2</v>
      </c>
      <c r="C42" s="427"/>
      <c r="D42" s="427"/>
      <c r="E42" s="427"/>
    </row>
    <row r="43" spans="1:5" ht="15.75" customHeight="1">
      <c r="A43" s="427"/>
      <c r="B43" s="427"/>
      <c r="C43" s="427"/>
      <c r="D43" s="427"/>
      <c r="E43" s="427"/>
    </row>
    <row r="44" spans="1:5" ht="16.5" customHeight="1">
      <c r="A44" s="431" t="s">
        <v>13</v>
      </c>
      <c r="B44" s="432" t="s">
        <v>14</v>
      </c>
      <c r="C44" s="431" t="s">
        <v>15</v>
      </c>
      <c r="D44" s="431" t="s">
        <v>16</v>
      </c>
      <c r="E44" s="431" t="s">
        <v>17</v>
      </c>
    </row>
    <row r="45" spans="1:5" ht="16.5" customHeight="1">
      <c r="A45" s="433">
        <v>1</v>
      </c>
      <c r="B45" s="434">
        <v>3051351</v>
      </c>
      <c r="C45" s="434">
        <v>5861.4</v>
      </c>
      <c r="D45" s="435">
        <v>1.4</v>
      </c>
      <c r="E45" s="436">
        <v>5.2</v>
      </c>
    </row>
    <row r="46" spans="1:5" ht="16.5" customHeight="1">
      <c r="A46" s="433">
        <v>2</v>
      </c>
      <c r="B46" s="434">
        <v>3061847</v>
      </c>
      <c r="C46" s="434">
        <v>5886.7</v>
      </c>
      <c r="D46" s="435">
        <v>1.4</v>
      </c>
      <c r="E46" s="435">
        <v>5.2</v>
      </c>
    </row>
    <row r="47" spans="1:5" ht="16.5" customHeight="1">
      <c r="A47" s="433">
        <v>3</v>
      </c>
      <c r="B47" s="434">
        <v>3051526</v>
      </c>
      <c r="C47" s="434">
        <v>5833.5</v>
      </c>
      <c r="D47" s="435">
        <v>1.4</v>
      </c>
      <c r="E47" s="435">
        <v>5.2</v>
      </c>
    </row>
    <row r="48" spans="1:5" ht="16.5" customHeight="1">
      <c r="A48" s="433">
        <v>4</v>
      </c>
      <c r="B48" s="434">
        <v>3065906</v>
      </c>
      <c r="C48" s="434">
        <v>5829.9</v>
      </c>
      <c r="D48" s="435">
        <v>1.4</v>
      </c>
      <c r="E48" s="435">
        <v>5.2</v>
      </c>
    </row>
    <row r="49" spans="1:7" ht="16.5" customHeight="1">
      <c r="A49" s="433">
        <v>5</v>
      </c>
      <c r="B49" s="434">
        <v>3060682</v>
      </c>
      <c r="C49" s="434">
        <v>5826.2</v>
      </c>
      <c r="D49" s="435">
        <v>1.4</v>
      </c>
      <c r="E49" s="435">
        <v>5.2</v>
      </c>
    </row>
    <row r="50" spans="1:7" ht="16.5" customHeight="1">
      <c r="A50" s="433">
        <v>6</v>
      </c>
      <c r="B50" s="437">
        <v>3042921</v>
      </c>
      <c r="C50" s="437">
        <v>5827.1</v>
      </c>
      <c r="D50" s="438">
        <v>1.4</v>
      </c>
      <c r="E50" s="438">
        <v>5.2</v>
      </c>
    </row>
    <row r="51" spans="1:7" ht="16.5" customHeight="1">
      <c r="A51" s="439" t="s">
        <v>18</v>
      </c>
      <c r="B51" s="440">
        <f>AVERAGE(B45:B50)</f>
        <v>3055705.5</v>
      </c>
      <c r="C51" s="441">
        <f>AVERAGE(C45:C50)</f>
        <v>5844.1333333333341</v>
      </c>
      <c r="D51" s="442">
        <f>AVERAGE(D45:D50)</f>
        <v>1.4000000000000001</v>
      </c>
      <c r="E51" s="442">
        <f>AVERAGE(E45:E50)</f>
        <v>5.2</v>
      </c>
    </row>
    <row r="52" spans="1:7" ht="16.5" customHeight="1">
      <c r="A52" s="443" t="s">
        <v>19</v>
      </c>
      <c r="B52" s="444">
        <f>(STDEV(B45:B50)/B51)</f>
        <v>2.8014665771172453E-3</v>
      </c>
      <c r="C52" s="445"/>
      <c r="D52" s="445"/>
      <c r="E52" s="446"/>
    </row>
    <row r="53" spans="1:7" s="421" customFormat="1" ht="16.5" customHeight="1">
      <c r="A53" s="447" t="s">
        <v>20</v>
      </c>
      <c r="B53" s="448">
        <f>COUNT(B45:B50)</f>
        <v>6</v>
      </c>
      <c r="C53" s="449"/>
      <c r="D53" s="450"/>
      <c r="E53" s="451"/>
    </row>
    <row r="54" spans="1:7" s="421" customFormat="1" ht="15.75" customHeight="1">
      <c r="A54" s="427"/>
      <c r="B54" s="427"/>
      <c r="C54" s="427"/>
      <c r="D54" s="427"/>
      <c r="E54" s="427"/>
    </row>
    <row r="55" spans="1:7" s="421" customFormat="1" ht="16.5" customHeight="1">
      <c r="A55" s="428" t="s">
        <v>21</v>
      </c>
      <c r="B55" s="452" t="s">
        <v>22</v>
      </c>
      <c r="C55" s="453"/>
      <c r="D55" s="453"/>
      <c r="E55" s="453"/>
    </row>
    <row r="56" spans="1:7" ht="16.5" customHeight="1">
      <c r="A56" s="428"/>
      <c r="B56" s="452" t="s">
        <v>23</v>
      </c>
      <c r="C56" s="453"/>
      <c r="D56" s="453"/>
      <c r="E56" s="453"/>
    </row>
    <row r="57" spans="1:7" ht="16.5" customHeight="1">
      <c r="A57" s="428"/>
      <c r="B57" s="452" t="s">
        <v>24</v>
      </c>
      <c r="C57" s="453"/>
      <c r="D57" s="453"/>
      <c r="E57" s="453"/>
    </row>
    <row r="58" spans="1:7" ht="14.25" customHeight="1" thickBot="1">
      <c r="A58" s="454"/>
      <c r="B58" s="455"/>
      <c r="D58" s="456"/>
      <c r="F58" s="457"/>
      <c r="G58" s="457"/>
    </row>
    <row r="59" spans="1:7" ht="15" customHeight="1">
      <c r="B59" s="549" t="s">
        <v>26</v>
      </c>
      <c r="C59" s="549"/>
      <c r="E59" s="458" t="s">
        <v>27</v>
      </c>
      <c r="F59" s="459"/>
      <c r="G59" s="458" t="s">
        <v>28</v>
      </c>
    </row>
    <row r="60" spans="1:7" ht="15" customHeight="1">
      <c r="A60" s="460" t="s">
        <v>29</v>
      </c>
      <c r="B60" s="461"/>
      <c r="C60" s="461"/>
      <c r="E60" s="461"/>
      <c r="G60" s="461"/>
    </row>
    <row r="61" spans="1:7" ht="15" customHeight="1">
      <c r="A61" s="460" t="s">
        <v>30</v>
      </c>
      <c r="B61" s="462"/>
      <c r="C61" s="462"/>
      <c r="E61" s="462"/>
      <c r="G61" s="46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0:H54"/>
  <sheetViews>
    <sheetView view="pageBreakPreview" topLeftCell="A42" zoomScale="115" zoomScaleSheetLayoutView="115" workbookViewId="0">
      <selection activeCell="D48" sqref="D48"/>
    </sheetView>
  </sheetViews>
  <sheetFormatPr defaultRowHeight="15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/>
    <row r="11" spans="1:7" ht="13.5" customHeight="1">
      <c r="A11" s="553" t="s">
        <v>31</v>
      </c>
      <c r="B11" s="554"/>
      <c r="C11" s="554"/>
      <c r="D11" s="554"/>
      <c r="E11" s="554"/>
      <c r="F11" s="555"/>
      <c r="G11" s="41"/>
    </row>
    <row r="12" spans="1:7" ht="16.5" customHeight="1">
      <c r="A12" s="552" t="s">
        <v>32</v>
      </c>
      <c r="B12" s="552"/>
      <c r="C12" s="552"/>
      <c r="D12" s="552"/>
      <c r="E12" s="552"/>
      <c r="F12" s="552"/>
      <c r="G12" s="40"/>
    </row>
    <row r="14" spans="1:7" ht="16.5" customHeight="1">
      <c r="A14" s="557" t="s">
        <v>33</v>
      </c>
      <c r="B14" s="557"/>
      <c r="C14" s="10" t="s">
        <v>5</v>
      </c>
    </row>
    <row r="15" spans="1:7" ht="16.5" customHeight="1">
      <c r="A15" s="557" t="s">
        <v>34</v>
      </c>
      <c r="B15" s="557"/>
      <c r="C15" s="10" t="s">
        <v>7</v>
      </c>
    </row>
    <row r="16" spans="1:7" ht="16.5" customHeight="1">
      <c r="A16" s="557" t="s">
        <v>35</v>
      </c>
      <c r="B16" s="557"/>
      <c r="C16" s="10" t="s">
        <v>9</v>
      </c>
    </row>
    <row r="17" spans="1:5" ht="16.5" customHeight="1">
      <c r="A17" s="557" t="s">
        <v>36</v>
      </c>
      <c r="B17" s="557"/>
      <c r="C17" s="10" t="s">
        <v>11</v>
      </c>
    </row>
    <row r="18" spans="1:5" ht="16.5" customHeight="1">
      <c r="A18" s="557" t="s">
        <v>37</v>
      </c>
      <c r="B18" s="557"/>
      <c r="C18" s="47" t="s">
        <v>12</v>
      </c>
    </row>
    <row r="19" spans="1:5" ht="16.5" customHeight="1">
      <c r="A19" s="557" t="s">
        <v>38</v>
      </c>
      <c r="B19" s="557"/>
      <c r="C19" s="47" t="e">
        <f>#REF!</f>
        <v>#REF!</v>
      </c>
    </row>
    <row r="20" spans="1:5" ht="16.5" customHeight="1">
      <c r="A20" s="12"/>
      <c r="B20" s="12"/>
      <c r="C20" s="27"/>
    </row>
    <row r="21" spans="1:5" ht="16.5" customHeight="1">
      <c r="A21" s="552" t="s">
        <v>1</v>
      </c>
      <c r="B21" s="552"/>
      <c r="C21" s="9" t="s">
        <v>39</v>
      </c>
      <c r="D21" s="16"/>
    </row>
    <row r="22" spans="1:5" ht="15.75" customHeight="1">
      <c r="A22" s="556"/>
      <c r="B22" s="556"/>
      <c r="C22" s="7"/>
      <c r="D22" s="556"/>
      <c r="E22" s="556"/>
    </row>
    <row r="23" spans="1:5" ht="33.75" customHeight="1">
      <c r="C23" s="36" t="s">
        <v>40</v>
      </c>
      <c r="D23" s="35" t="s">
        <v>41</v>
      </c>
      <c r="E23" s="2"/>
    </row>
    <row r="24" spans="1:5" ht="15.75" customHeight="1">
      <c r="C24" s="45">
        <v>1081.33</v>
      </c>
      <c r="D24" s="37">
        <f t="shared" ref="D24:D43" si="0">(C24-$C$46)/$C$46</f>
        <v>1.9073050664266285E-3</v>
      </c>
      <c r="E24" s="3"/>
    </row>
    <row r="25" spans="1:5" ht="15.75" customHeight="1">
      <c r="C25" s="45">
        <v>1077.6600000000001</v>
      </c>
      <c r="D25" s="38">
        <f t="shared" si="0"/>
        <v>-1.4931368057064214E-3</v>
      </c>
      <c r="E25" s="3"/>
    </row>
    <row r="26" spans="1:5" ht="15.75" customHeight="1">
      <c r="C26" s="45">
        <v>1067.82</v>
      </c>
      <c r="D26" s="38">
        <f t="shared" si="0"/>
        <v>-1.0610397847066399E-2</v>
      </c>
      <c r="E26" s="3"/>
    </row>
    <row r="27" spans="1:5" ht="15.75" customHeight="1">
      <c r="C27" s="45">
        <v>1080.8499999999999</v>
      </c>
      <c r="D27" s="38">
        <f t="shared" si="0"/>
        <v>1.4625606253846682E-3</v>
      </c>
      <c r="E27" s="3"/>
    </row>
    <row r="28" spans="1:5" ht="15.75" customHeight="1">
      <c r="C28" s="45">
        <v>1069.8900000000001</v>
      </c>
      <c r="D28" s="38">
        <f t="shared" si="0"/>
        <v>-8.6924374450728665E-3</v>
      </c>
      <c r="E28" s="3"/>
    </row>
    <row r="29" spans="1:5" ht="15.75" customHeight="1">
      <c r="C29" s="45">
        <v>1076.99</v>
      </c>
      <c r="D29" s="38">
        <f t="shared" si="0"/>
        <v>-2.1139259213275351E-3</v>
      </c>
      <c r="E29" s="3"/>
    </row>
    <row r="30" spans="1:5" ht="15.75" customHeight="1">
      <c r="C30" s="45">
        <v>1079.54</v>
      </c>
      <c r="D30" s="38">
        <f t="shared" si="0"/>
        <v>2.4877892170774784E-4</v>
      </c>
      <c r="E30" s="3"/>
    </row>
    <row r="31" spans="1:5" ht="15.75" customHeight="1">
      <c r="C31" s="45">
        <v>1093.5999999999999</v>
      </c>
      <c r="D31" s="38">
        <f t="shared" si="0"/>
        <v>1.3276084840561293E-2</v>
      </c>
      <c r="E31" s="3"/>
    </row>
    <row r="32" spans="1:5" ht="15.75" customHeight="1">
      <c r="C32" s="45">
        <v>1085.3699999999999</v>
      </c>
      <c r="D32" s="38">
        <f t="shared" si="0"/>
        <v>5.6505707785296198E-3</v>
      </c>
      <c r="E32" s="3"/>
    </row>
    <row r="33" spans="1:7" ht="15.75" customHeight="1">
      <c r="C33" s="45">
        <v>1067.3800000000001</v>
      </c>
      <c r="D33" s="38">
        <f t="shared" si="0"/>
        <v>-1.1018080251354687E-2</v>
      </c>
      <c r="E33" s="3"/>
    </row>
    <row r="34" spans="1:7" ht="15.75" customHeight="1">
      <c r="C34" s="45">
        <v>1072.03</v>
      </c>
      <c r="D34" s="38">
        <f t="shared" si="0"/>
        <v>-6.7096184787609854E-3</v>
      </c>
      <c r="E34" s="3"/>
    </row>
    <row r="35" spans="1:7" ht="15.75" customHeight="1">
      <c r="C35" s="45">
        <v>1082.7</v>
      </c>
      <c r="D35" s="38">
        <f t="shared" si="0"/>
        <v>3.1766798252339519E-3</v>
      </c>
      <c r="E35" s="3"/>
    </row>
    <row r="36" spans="1:7" ht="15.75" customHeight="1">
      <c r="C36" s="45">
        <v>1068.67</v>
      </c>
      <c r="D36" s="38">
        <f t="shared" si="0"/>
        <v>-9.8228295660544983E-3</v>
      </c>
      <c r="E36" s="3"/>
    </row>
    <row r="37" spans="1:7" ht="15.75" customHeight="1">
      <c r="C37" s="45">
        <v>1066.3900000000001</v>
      </c>
      <c r="D37" s="38">
        <f t="shared" si="0"/>
        <v>-1.1935365661003705E-2</v>
      </c>
      <c r="E37" s="3"/>
    </row>
    <row r="38" spans="1:7" ht="15.75" customHeight="1">
      <c r="C38" s="45">
        <v>1095.08</v>
      </c>
      <c r="D38" s="38">
        <f t="shared" si="0"/>
        <v>1.4647380200440636E-2</v>
      </c>
      <c r="E38" s="3"/>
    </row>
    <row r="39" spans="1:7" ht="15.75" customHeight="1">
      <c r="C39" s="45">
        <v>1078.81</v>
      </c>
      <c r="D39" s="38">
        <f t="shared" si="0"/>
        <v>-4.2760324904355816E-4</v>
      </c>
      <c r="E39" s="3"/>
    </row>
    <row r="40" spans="1:7" ht="15.75" customHeight="1">
      <c r="C40" s="45">
        <v>1081.3399999999999</v>
      </c>
      <c r="D40" s="38">
        <f t="shared" si="0"/>
        <v>1.9165705756149941E-3</v>
      </c>
      <c r="E40" s="3"/>
    </row>
    <row r="41" spans="1:7" ht="15.75" customHeight="1">
      <c r="C41" s="45">
        <v>1089.2</v>
      </c>
      <c r="D41" s="38">
        <f t="shared" si="0"/>
        <v>9.1992607976769374E-3</v>
      </c>
      <c r="E41" s="3"/>
    </row>
    <row r="42" spans="1:7" ht="15.75" customHeight="1">
      <c r="C42" s="45">
        <v>1086.8</v>
      </c>
      <c r="D42" s="38">
        <f t="shared" si="0"/>
        <v>6.9755385924671351E-3</v>
      </c>
      <c r="E42" s="3"/>
    </row>
    <row r="43" spans="1:7" ht="16.5" customHeight="1">
      <c r="C43" s="46">
        <v>1083.98</v>
      </c>
      <c r="D43" s="39">
        <f t="shared" si="0"/>
        <v>4.3626650013457759E-3</v>
      </c>
      <c r="E43" s="3"/>
    </row>
    <row r="44" spans="1:7" ht="16.5" customHeight="1">
      <c r="C44" s="4"/>
      <c r="D44" s="3"/>
      <c r="E44" s="5"/>
    </row>
    <row r="45" spans="1:7" ht="16.5" customHeight="1">
      <c r="B45" s="32" t="s">
        <v>42</v>
      </c>
      <c r="C45" s="33">
        <f>SUM(C24:C44)</f>
        <v>21585.43</v>
      </c>
      <c r="D45" s="28"/>
      <c r="E45" s="4"/>
    </row>
    <row r="46" spans="1:7" ht="17.25" customHeight="1">
      <c r="B46" s="32" t="s">
        <v>43</v>
      </c>
      <c r="C46" s="34">
        <f>AVERAGE(C24:C44)</f>
        <v>1079.2715000000001</v>
      </c>
      <c r="E46" s="6"/>
    </row>
    <row r="47" spans="1:7" ht="17.25" customHeight="1">
      <c r="A47" s="10"/>
      <c r="B47" s="29"/>
      <c r="D47" s="8"/>
      <c r="E47" s="6"/>
    </row>
    <row r="48" spans="1:7" ht="33.75" customHeight="1">
      <c r="B48" s="42" t="s">
        <v>43</v>
      </c>
      <c r="C48" s="35" t="s">
        <v>44</v>
      </c>
      <c r="D48" s="30"/>
      <c r="G48" s="8"/>
    </row>
    <row r="49" spans="1:6" ht="17.25" customHeight="1">
      <c r="B49" s="550">
        <f>C46</f>
        <v>1079.2715000000001</v>
      </c>
      <c r="C49" s="43">
        <f>-IF(C46&lt;=80,10%,IF(C46&lt;250,7.5%,5%))</f>
        <v>-0.05</v>
      </c>
      <c r="D49" s="31">
        <f>IF(C46&lt;=80,C46*0.9,IF(C46&lt;250,C46*0.925,C46*0.95))</f>
        <v>1025.3079250000001</v>
      </c>
    </row>
    <row r="50" spans="1:6" ht="17.25" customHeight="1">
      <c r="B50" s="551"/>
      <c r="C50" s="44">
        <f>IF(C46&lt;=80, 10%, IF(C46&lt;250, 7.5%, 5%))</f>
        <v>0.05</v>
      </c>
      <c r="D50" s="31">
        <f>IF(C46&lt;=80, C46*1.1, IF(C46&lt;250, C46*1.075, C46*1.05))</f>
        <v>1133.2350750000001</v>
      </c>
    </row>
    <row r="51" spans="1:6" ht="16.5" customHeight="1">
      <c r="A51" s="13"/>
      <c r="B51" s="14"/>
      <c r="C51" s="10"/>
      <c r="D51" s="15"/>
      <c r="E51" s="10"/>
      <c r="F51" s="16"/>
    </row>
    <row r="52" spans="1:6" ht="16.5" customHeight="1">
      <c r="A52" s="10"/>
      <c r="B52" s="17" t="s">
        <v>26</v>
      </c>
      <c r="C52" s="17"/>
      <c r="D52" s="18" t="s">
        <v>27</v>
      </c>
      <c r="E52" s="19"/>
      <c r="F52" s="18" t="s">
        <v>28</v>
      </c>
    </row>
    <row r="53" spans="1:6" ht="34.5" customHeight="1">
      <c r="A53" s="20" t="s">
        <v>29</v>
      </c>
      <c r="B53" s="21"/>
      <c r="C53" s="22"/>
      <c r="D53" s="21"/>
      <c r="E53" s="11"/>
      <c r="F53" s="23"/>
    </row>
    <row r="54" spans="1:6" ht="34.5" customHeight="1">
      <c r="A54" s="20" t="s">
        <v>30</v>
      </c>
      <c r="B54" s="24"/>
      <c r="C54" s="25"/>
      <c r="D54" s="24"/>
      <c r="E54" s="11"/>
      <c r="F54" s="2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SST SULFAMETHOXAZOLE</vt:lpstr>
      <vt:lpstr>Sulfamethoxazole</vt:lpstr>
      <vt:lpstr>Trimethoprim</vt:lpstr>
      <vt:lpstr>SST TRIMETHOPRIM</vt:lpstr>
      <vt:lpstr>Uniformity</vt:lpstr>
      <vt:lpstr>Sulfamethoxazole!Print_Area</vt:lpstr>
      <vt:lpstr>Trimethoprim!Print_Area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Ernest</cp:lastModifiedBy>
  <cp:lastPrinted>2017-09-11T12:47:35Z</cp:lastPrinted>
  <dcterms:created xsi:type="dcterms:W3CDTF">2005-07-05T10:19:27Z</dcterms:created>
  <dcterms:modified xsi:type="dcterms:W3CDTF">2017-09-11T12:49:07Z</dcterms:modified>
</cp:coreProperties>
</file>