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15" windowWidth="20775" windowHeight="9405" activeTab="1"/>
  </bookViews>
  <sheets>
    <sheet name="SST" sheetId="4" r:id="rId1"/>
    <sheet name="Doxycycline Hyclate" sheetId="5" r:id="rId2"/>
    <sheet name="Uniformity" sheetId="2" r:id="rId3"/>
  </sheets>
  <calcPr calcId="145621"/>
</workbook>
</file>

<file path=xl/calcChain.xml><?xml version="1.0" encoding="utf-8"?>
<calcChain xmlns="http://schemas.openxmlformats.org/spreadsheetml/2006/main">
  <c r="B57" i="5" l="1"/>
  <c r="C124" i="5" l="1"/>
  <c r="B116" i="5"/>
  <c r="D101" i="5"/>
  <c r="E91" i="5" s="1"/>
  <c r="D100" i="5"/>
  <c r="B98" i="5"/>
  <c r="D97" i="5"/>
  <c r="D98" i="5" s="1"/>
  <c r="F95" i="5"/>
  <c r="D95" i="5"/>
  <c r="I92" i="5" s="1"/>
  <c r="G94" i="5"/>
  <c r="E94" i="5"/>
  <c r="B87" i="5"/>
  <c r="F97" i="5" s="1"/>
  <c r="F98" i="5" s="1"/>
  <c r="B81" i="5"/>
  <c r="B83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D48" i="5"/>
  <c r="G39" i="5" s="1"/>
  <c r="B45" i="5"/>
  <c r="F42" i="5"/>
  <c r="D42" i="5"/>
  <c r="G41" i="5"/>
  <c r="E41" i="5"/>
  <c r="I39" i="5"/>
  <c r="B34" i="5"/>
  <c r="F44" i="5" s="1"/>
  <c r="F45" i="5" s="1"/>
  <c r="F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F99" i="5" l="1"/>
  <c r="G91" i="5"/>
  <c r="G95" i="5" s="1"/>
  <c r="D99" i="5"/>
  <c r="E93" i="5"/>
  <c r="D105" i="5" s="1"/>
  <c r="G38" i="5"/>
  <c r="D44" i="5"/>
  <c r="D45" i="5" s="1"/>
  <c r="D49" i="5"/>
  <c r="E92" i="5"/>
  <c r="E95" i="5" s="1"/>
  <c r="G93" i="5"/>
  <c r="D102" i="5"/>
  <c r="E39" i="5"/>
  <c r="G40" i="5"/>
  <c r="G92" i="5"/>
  <c r="D43" i="2"/>
  <c r="D103" i="5" l="1"/>
  <c r="D46" i="5"/>
  <c r="E38" i="5"/>
  <c r="E40" i="5"/>
  <c r="G42" i="5"/>
  <c r="D47" i="2"/>
  <c r="C47" i="2"/>
  <c r="D48" i="2"/>
  <c r="B47" i="2"/>
  <c r="C48" i="2"/>
  <c r="E32" i="2"/>
  <c r="E35" i="2"/>
  <c r="E38" i="2"/>
  <c r="E22" i="2"/>
  <c r="E33" i="2"/>
  <c r="E21" i="2"/>
  <c r="E28" i="2"/>
  <c r="E31" i="2"/>
  <c r="E34" i="2"/>
  <c r="E29" i="2"/>
  <c r="E40" i="2"/>
  <c r="E24" i="2"/>
  <c r="E27" i="2"/>
  <c r="E30" i="2"/>
  <c r="E25" i="2"/>
  <c r="E36" i="2"/>
  <c r="E39" i="2"/>
  <c r="E23" i="2"/>
  <c r="E26" i="2"/>
  <c r="E37" i="2"/>
  <c r="D50" i="5" l="1"/>
  <c r="E42" i="5"/>
  <c r="D52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20" i="5" l="1"/>
  <c r="E117" i="5"/>
  <c r="F108" i="5"/>
  <c r="E115" i="5"/>
  <c r="E116" i="5" s="1"/>
  <c r="E119" i="5"/>
  <c r="D51" i="5"/>
  <c r="G70" i="5"/>
  <c r="H70" i="5" s="1"/>
  <c r="G65" i="5"/>
  <c r="H65" i="5" s="1"/>
  <c r="G61" i="5"/>
  <c r="H61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G74" i="5" l="1"/>
  <c r="G72" i="5"/>
  <c r="G73" i="5" s="1"/>
  <c r="H60" i="5"/>
  <c r="F125" i="5"/>
  <c r="F120" i="5"/>
  <c r="F117" i="5"/>
  <c r="D125" i="5"/>
  <c r="F115" i="5"/>
  <c r="F119" i="5"/>
  <c r="G124" i="5" l="1"/>
  <c r="F116" i="5"/>
  <c r="H74" i="5"/>
  <c r="H72" i="5"/>
  <c r="G76" i="5" l="1"/>
  <c r="H73" i="5"/>
</calcChain>
</file>

<file path=xl/sharedStrings.xml><?xml version="1.0" encoding="utf-8"?>
<sst xmlns="http://schemas.openxmlformats.org/spreadsheetml/2006/main" count="244" uniqueCount="139">
  <si>
    <t>HPLC System Suitability Report</t>
  </si>
  <si>
    <t>Analysis Data</t>
  </si>
  <si>
    <t>Assay</t>
  </si>
  <si>
    <t>Sample(s)</t>
  </si>
  <si>
    <t>Reference Substance:</t>
  </si>
  <si>
    <t>DOXY CAPSULES</t>
  </si>
  <si>
    <t>% age Purity:</t>
  </si>
  <si>
    <t>NDQB201708123</t>
  </si>
  <si>
    <t>Weight (mg):</t>
  </si>
  <si>
    <t>Doxycline Hyclate BP</t>
  </si>
  <si>
    <t>Standard Conc (mg/mL):</t>
  </si>
  <si>
    <t>Doxycline Hyclate BP equivalent to unhydrous Doxycline 100 mg</t>
  </si>
  <si>
    <t>2017-08-29 12:48:21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</si>
  <si>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</si>
  <si>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</si>
  <si>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</si>
  <si>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</si>
  <si>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</si>
  <si>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</si>
  <si>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</si>
  <si>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</si>
  <si>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</si>
  <si>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</si>
  <si>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</si>
  <si>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</si>
  <si>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</si>
  <si>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</si>
  <si>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</si>
  <si>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</si>
  <si>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</si>
  <si>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</si>
  <si>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</si>
  <si>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</si>
  <si>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</si>
  <si>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</si>
  <si>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</si>
  <si>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</si>
  <si>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</si>
  <si>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</si>
  <si>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2017-08-30 15:38:14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</si>
  <si>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</si>
  <si>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</si>
  <si>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</si>
  <si>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</si>
  <si>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</si>
  <si>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</si>
  <si>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</si>
  <si>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</si>
  <si>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</si>
  <si>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</si>
  <si>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</si>
  <si>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</si>
  <si>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</si>
  <si>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</si>
  <si>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</si>
  <si>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</si>
  <si>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</si>
  <si>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</si>
  <si>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</si>
  <si>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</si>
  <si>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</si>
  <si>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</si>
  <si>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</si>
  <si>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</si>
  <si>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</si>
  <si>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</si>
  <si>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</si>
  <si>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</si>
  <si>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</si>
  <si>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</si>
  <si>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</si>
  <si>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</si>
  <si>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</si>
  <si>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</si>
  <si>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</si>
  <si>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</si>
  <si>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</si>
  <si>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</si>
  <si>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</si>
  <si>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</si>
  <si>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</si>
  <si>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</si>
  <si>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</si>
  <si>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</si>
  <si>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</si>
  <si>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</si>
  <si>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</si>
  <si>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</si>
  <si>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</si>
  <si>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</si>
  <si>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</si>
  <si>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</si>
  <si>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</si>
  <si>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</si>
  <si>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</si>
  <si>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</si>
  <si>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</si>
  <si>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</si>
  <si>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</si>
  <si>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</si>
  <si>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</si>
  <si>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</si>
  <si>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</si>
  <si>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</si>
  <si>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</si>
  <si>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</si>
  <si>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</si>
  <si>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</si>
  <si>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</si>
  <si>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</si>
  <si>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</si>
  <si>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</si>
  <si>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</si>
  <si>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</si>
  <si>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</si>
  <si>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</si>
  <si>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</si>
  <si>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</si>
  <si>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</si>
  <si>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</si>
  <si>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</si>
  <si>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</si>
  <si>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</si>
  <si>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</si>
  <si>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</si>
  <si>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</si>
  <si>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</si>
  <si>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</si>
  <si>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</si>
  <si>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</si>
  <si>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</si>
  <si>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</si>
  <si>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</si>
  <si>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</si>
  <si>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</si>
  <si>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DOXYCYCLINE HYCLATE</t>
  </si>
  <si>
    <t>2017-08-29 12:45:19</t>
  </si>
  <si>
    <t>D23-2</t>
  </si>
  <si>
    <t>264.45.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</si>
</sst>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5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60" xfId="1" applyFont="1" applyFill="1" applyBorder="1" applyAlignment="1">
      <alignment horizontal="center"/>
    </xf>
    <xf numFmtId="0" fontId="19" fillId="2" borderId="30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7" fontId="14" fillId="3" borderId="0" xfId="1" applyNumberFormat="1" applyFont="1" applyFill="1" applyAlignment="1" applyProtection="1">
      <alignment horizontal="center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60" xfId="1" applyFont="1" applyFill="1" applyBorder="1" applyAlignment="1">
      <alignment horizontal="justify" vertical="center" wrapText="1"/>
    </xf>
    <xf numFmtId="0" fontId="19" fillId="2" borderId="30" xfId="1" applyFont="1" applyFill="1" applyBorder="1" applyAlignment="1">
      <alignment horizontal="justify" vertical="center" wrapText="1"/>
    </xf>
    <xf numFmtId="0" fontId="19" fillId="2" borderId="13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60" xfId="1" applyFont="1" applyFill="1" applyBorder="1" applyAlignment="1">
      <alignment horizontal="left" vertical="center" wrapText="1"/>
    </xf>
    <xf numFmtId="0" fontId="19" fillId="2" borderId="30" xfId="1" applyFont="1" applyFill="1" applyBorder="1" applyAlignment="1">
      <alignment horizontal="left" vertical="center" wrapText="1"/>
    </xf>
    <xf numFmtId="0" fontId="19" fillId="2" borderId="13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1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2" fillId="2" borderId="34" xfId="1" applyFont="1" applyFill="1" applyBorder="1" applyAlignment="1">
      <alignment horizontal="center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1" fontId="11" fillId="2" borderId="38" xfId="1" applyNumberFormat="1" applyFont="1" applyFill="1" applyBorder="1" applyAlignment="1">
      <alignment horizontal="center"/>
    </xf>
    <xf numFmtId="171" fontId="11" fillId="2" borderId="42" xfId="1" applyNumberFormat="1" applyFont="1" applyFill="1" applyBorder="1" applyAlignment="1">
      <alignment horizontal="center"/>
    </xf>
    <xf numFmtId="0" fontId="18" fillId="2" borderId="31" xfId="1" applyFont="1" applyFill="1" applyBorder="1"/>
    <xf numFmtId="0" fontId="11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1" fontId="11" fillId="2" borderId="43" xfId="1" applyNumberFormat="1" applyFont="1" applyFill="1" applyBorder="1" applyAlignment="1">
      <alignment horizontal="center"/>
    </xf>
    <xf numFmtId="171" fontId="11" fillId="2" borderId="44" xfId="1" applyNumberFormat="1" applyFont="1" applyFill="1" applyBorder="1" applyAlignment="1">
      <alignment horizontal="center"/>
    </xf>
    <xf numFmtId="10" fontId="15" fillId="2" borderId="53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13" fillId="3" borderId="45" xfId="1" applyFont="1" applyFill="1" applyBorder="1" applyAlignment="1" applyProtection="1">
      <alignment horizontal="center"/>
      <protection locked="0"/>
    </xf>
    <xf numFmtId="171" fontId="11" fillId="2" borderId="46" xfId="1" applyNumberFormat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0" fontId="11" fillId="2" borderId="32" xfId="1" applyFont="1" applyFill="1" applyBorder="1"/>
    <xf numFmtId="0" fontId="11" fillId="2" borderId="36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33" xfId="1" applyFont="1" applyFill="1" applyBorder="1" applyAlignment="1">
      <alignment horizontal="left" vertical="center" wrapText="1"/>
    </xf>
    <xf numFmtId="0" fontId="19" fillId="2" borderId="34" xfId="1" applyFont="1" applyFill="1" applyBorder="1" applyAlignment="1">
      <alignment horizontal="left" vertical="center" wrapText="1"/>
    </xf>
    <xf numFmtId="166" fontId="11" fillId="6" borderId="17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8" xfId="1" applyNumberFormat="1" applyFont="1" applyFill="1" applyBorder="1" applyAlignment="1">
      <alignment horizontal="center"/>
    </xf>
    <xf numFmtId="0" fontId="19" fillId="2" borderId="52" xfId="1" applyFont="1" applyFill="1" applyBorder="1" applyAlignment="1">
      <alignment horizontal="left" vertical="center" wrapText="1"/>
    </xf>
    <xf numFmtId="0" fontId="19" fillId="2" borderId="54" xfId="1" applyFont="1" applyFill="1" applyBorder="1" applyAlignment="1">
      <alignment horizontal="left" vertical="center" wrapText="1"/>
    </xf>
    <xf numFmtId="0" fontId="11" fillId="2" borderId="51" xfId="1" applyFont="1" applyFill="1" applyBorder="1" applyAlignment="1">
      <alignment horizontal="right"/>
    </xf>
    <xf numFmtId="166" fontId="13" fillId="3" borderId="17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41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32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31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0" fontId="11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166" fontId="11" fillId="2" borderId="33" xfId="1" applyNumberFormat="1" applyFont="1" applyFill="1" applyBorder="1" applyAlignment="1">
      <alignment horizontal="center"/>
    </xf>
    <xf numFmtId="173" fontId="11" fillId="2" borderId="31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53" xfId="1" applyNumberFormat="1" applyFont="1" applyFill="1" applyBorder="1" applyAlignment="1" applyProtection="1">
      <alignment horizontal="center" vertical="center"/>
      <protection locked="0"/>
    </xf>
    <xf numFmtId="0" fontId="11" fillId="2" borderId="53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73" fontId="11" fillId="2" borderId="53" xfId="1" applyNumberFormat="1" applyFont="1" applyFill="1" applyBorder="1" applyAlignment="1">
      <alignment horizontal="center" vertic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>
      <alignment horizontal="center"/>
    </xf>
    <xf numFmtId="0" fontId="13" fillId="3" borderId="52" xfId="1" applyFont="1" applyFill="1" applyBorder="1" applyAlignment="1" applyProtection="1">
      <alignment horizontal="center"/>
      <protection locked="0"/>
    </xf>
    <xf numFmtId="166" fontId="11" fillId="2" borderId="52" xfId="1" applyNumberFormat="1" applyFont="1" applyFill="1" applyBorder="1" applyAlignment="1">
      <alignment horizontal="center"/>
    </xf>
    <xf numFmtId="173" fontId="11" fillId="2" borderId="32" xfId="1" applyNumberFormat="1" applyFont="1" applyFill="1" applyBorder="1" applyAlignment="1">
      <alignment horizontal="center" vertical="center"/>
    </xf>
    <xf numFmtId="0" fontId="14" fillId="2" borderId="36" xfId="1" applyFont="1" applyFill="1" applyBorder="1" applyAlignment="1">
      <alignment horizontal="center"/>
    </xf>
    <xf numFmtId="2" fontId="14" fillId="2" borderId="54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 vertical="center" wrapText="1"/>
    </xf>
    <xf numFmtId="0" fontId="19" fillId="2" borderId="34" xfId="1" applyFont="1" applyFill="1" applyBorder="1" applyAlignment="1">
      <alignment horizontal="center" vertical="center" wrapText="1"/>
    </xf>
    <xf numFmtId="0" fontId="19" fillId="2" borderId="52" xfId="1" applyFont="1" applyFill="1" applyBorder="1" applyAlignment="1">
      <alignment horizontal="center" vertical="center" wrapText="1"/>
    </xf>
    <xf numFmtId="0" fontId="19" fillId="2" borderId="54" xfId="1" applyFont="1" applyFill="1" applyBorder="1" applyAlignment="1">
      <alignment horizontal="center" vertical="center" wrapText="1"/>
    </xf>
    <xf numFmtId="0" fontId="12" fillId="2" borderId="52" xfId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/>
    </xf>
    <xf numFmtId="2" fontId="13" fillId="7" borderId="15" xfId="1" applyNumberFormat="1" applyFont="1" applyFill="1" applyBorder="1" applyAlignment="1">
      <alignment horizontal="center"/>
    </xf>
    <xf numFmtId="173" fontId="13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2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45" xfId="1" applyNumberFormat="1" applyFont="1" applyFill="1" applyBorder="1" applyAlignment="1" applyProtection="1">
      <alignment horizontal="center"/>
      <protection locked="0"/>
    </xf>
    <xf numFmtId="1" fontId="12" fillId="6" borderId="56" xfId="1" applyNumberFormat="1" applyFont="1" applyFill="1" applyBorder="1" applyAlignment="1">
      <alignment horizontal="center"/>
    </xf>
    <xf numFmtId="1" fontId="12" fillId="6" borderId="57" xfId="1" applyNumberFormat="1" applyFont="1" applyFill="1" applyBorder="1" applyAlignment="1">
      <alignment horizontal="center"/>
    </xf>
    <xf numFmtId="171" fontId="12" fillId="6" borderId="32" xfId="1" applyNumberFormat="1" applyFont="1" applyFill="1" applyBorder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3" xfId="1" applyFont="1" applyFill="1" applyBorder="1" applyAlignment="1" applyProtection="1">
      <alignment horizontal="center"/>
      <protection locked="0"/>
    </xf>
    <xf numFmtId="0" fontId="11" fillId="2" borderId="37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39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3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8" xfId="1" applyFont="1" applyFill="1" applyBorder="1" applyAlignment="1">
      <alignment horizontal="right"/>
    </xf>
    <xf numFmtId="2" fontId="11" fillId="7" borderId="42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28" xfId="1" applyFont="1" applyFill="1" applyBorder="1" applyAlignment="1">
      <alignment horizontal="right"/>
    </xf>
    <xf numFmtId="171" fontId="12" fillId="7" borderId="28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17" xfId="1" applyNumberFormat="1" applyFont="1" applyFill="1" applyBorder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2" fillId="2" borderId="34" xfId="1" applyFont="1" applyFill="1" applyBorder="1" applyAlignment="1">
      <alignment horizontal="center" wrapText="1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31" xfId="1" applyNumberFormat="1" applyFont="1" applyFill="1" applyBorder="1" applyAlignment="1">
      <alignment horizontal="center"/>
    </xf>
    <xf numFmtId="173" fontId="11" fillId="2" borderId="34" xfId="1" applyNumberFormat="1" applyFont="1" applyFill="1" applyBorder="1" applyAlignment="1">
      <alignment horizontal="center"/>
    </xf>
    <xf numFmtId="1" fontId="13" fillId="3" borderId="53" xfId="1" applyNumberFormat="1" applyFont="1" applyFill="1" applyBorder="1" applyAlignment="1" applyProtection="1">
      <alignment horizontal="center"/>
      <protection locked="0"/>
    </xf>
    <xf numFmtId="166" fontId="11" fillId="2" borderId="53" xfId="1" applyNumberFormat="1" applyFont="1" applyFill="1" applyBorder="1" applyAlignment="1">
      <alignment horizontal="center"/>
    </xf>
    <xf numFmtId="173" fontId="11" fillId="2" borderId="36" xfId="1" applyNumberFormat="1" applyFont="1" applyFill="1" applyBorder="1" applyAlignment="1">
      <alignment horizontal="center"/>
    </xf>
    <xf numFmtId="1" fontId="13" fillId="3" borderId="32" xfId="1" applyNumberFormat="1" applyFont="1" applyFill="1" applyBorder="1" applyAlignment="1" applyProtection="1">
      <alignment horizontal="center"/>
      <protection locked="0"/>
    </xf>
    <xf numFmtId="166" fontId="11" fillId="2" borderId="32" xfId="1" applyNumberFormat="1" applyFont="1" applyFill="1" applyBorder="1" applyAlignment="1">
      <alignment horizontal="center"/>
    </xf>
    <xf numFmtId="173" fontId="11" fillId="2" borderId="54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171" fontId="11" fillId="2" borderId="28" xfId="1" applyNumberFormat="1" applyFont="1" applyFill="1" applyBorder="1" applyAlignment="1">
      <alignment horizontal="right"/>
    </xf>
    <xf numFmtId="2" fontId="13" fillId="7" borderId="29" xfId="1" applyNumberFormat="1" applyFont="1" applyFill="1" applyBorder="1" applyAlignment="1">
      <alignment horizontal="center"/>
    </xf>
    <xf numFmtId="174" fontId="13" fillId="7" borderId="23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53" xfId="1" applyFont="1" applyFill="1" applyBorder="1" applyAlignment="1">
      <alignment horizontal="right"/>
    </xf>
    <xf numFmtId="10" fontId="13" fillId="6" borderId="39" xfId="1" applyNumberFormat="1" applyFont="1" applyFill="1" applyBorder="1" applyAlignment="1">
      <alignment horizontal="center"/>
    </xf>
    <xf numFmtId="0" fontId="11" fillId="2" borderId="52" xfId="1" applyFont="1" applyFill="1" applyBorder="1"/>
    <xf numFmtId="0" fontId="13" fillId="7" borderId="40" xfId="1" applyFont="1" applyFill="1" applyBorder="1" applyAlignment="1">
      <alignment horizontal="center"/>
    </xf>
    <xf numFmtId="0" fontId="13" fillId="7" borderId="59" xfId="1" applyFont="1" applyFill="1" applyBorder="1" applyAlignment="1">
      <alignment horizontal="center"/>
    </xf>
    <xf numFmtId="0" fontId="11" fillId="2" borderId="31" xfId="1" applyFont="1" applyFill="1" applyBorder="1"/>
    <xf numFmtId="0" fontId="12" fillId="2" borderId="20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right" vertical="center" wrapText="1"/>
    </xf>
    <xf numFmtId="2" fontId="13" fillId="6" borderId="16" xfId="1" applyNumberFormat="1" applyFont="1" applyFill="1" applyBorder="1" applyAlignment="1">
      <alignment horizontal="center"/>
    </xf>
    <xf numFmtId="174" fontId="13" fillId="6" borderId="16" xfId="1" applyNumberFormat="1" applyFont="1" applyFill="1" applyBorder="1" applyAlignment="1">
      <alignment horizontal="center"/>
    </xf>
    <xf numFmtId="2" fontId="13" fillId="7" borderId="19" xfId="1" applyNumberFormat="1" applyFont="1" applyFill="1" applyBorder="1" applyAlignment="1">
      <alignment horizontal="center"/>
    </xf>
    <xf numFmtId="174" fontId="13" fillId="7" borderId="19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="66" zoomScaleNormal="66" workbookViewId="0">
      <selection activeCell="C47" sqref="C47"/>
    </sheetView>
  </sheetViews>
  <sheetFormatPr defaultRowHeight="13.5" x14ac:dyDescent="0.25"/>
  <cols>
    <col min="1" max="1" width="27.5703125" style="81" customWidth="1"/>
    <col min="2" max="2" width="20.4257812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118"/>
  </cols>
  <sheetData>
    <row r="14" spans="1:6" ht="15" customHeight="1" x14ac:dyDescent="0.3">
      <c r="A14" s="80"/>
      <c r="C14" s="82"/>
      <c r="F14" s="82"/>
    </row>
    <row r="15" spans="1:6" ht="18.75" customHeight="1" x14ac:dyDescent="0.3">
      <c r="A15" s="83" t="s">
        <v>0</v>
      </c>
      <c r="B15" s="83"/>
      <c r="C15" s="83"/>
      <c r="D15" s="83"/>
      <c r="E15" s="83"/>
    </row>
    <row r="16" spans="1:6" ht="16.5" customHeight="1" x14ac:dyDescent="0.3">
      <c r="A16" s="84" t="s">
        <v>1</v>
      </c>
      <c r="B16" s="85" t="s">
        <v>2</v>
      </c>
    </row>
    <row r="17" spans="1:5" ht="16.5" customHeight="1" x14ac:dyDescent="0.3">
      <c r="A17" s="86" t="s">
        <v>3</v>
      </c>
      <c r="B17" s="86" t="s">
        <v>5</v>
      </c>
      <c r="D17" s="87"/>
      <c r="E17" s="88"/>
    </row>
    <row r="18" spans="1:5" ht="16.5" customHeight="1" x14ac:dyDescent="0.3">
      <c r="A18" s="89" t="s">
        <v>4</v>
      </c>
      <c r="B18" s="81" t="s">
        <v>135</v>
      </c>
      <c r="C18" s="88"/>
      <c r="D18" s="88"/>
      <c r="E18" s="88"/>
    </row>
    <row r="19" spans="1:5" ht="16.5" customHeight="1" x14ac:dyDescent="0.3">
      <c r="A19" s="89" t="s">
        <v>6</v>
      </c>
      <c r="B19" s="90">
        <v>98.45</v>
      </c>
      <c r="C19" s="88"/>
      <c r="D19" s="88"/>
      <c r="E19" s="88"/>
    </row>
    <row r="20" spans="1:5" ht="16.5" customHeight="1" x14ac:dyDescent="0.3">
      <c r="A20" s="86" t="s">
        <v>8</v>
      </c>
      <c r="B20" s="90">
        <v>17.77</v>
      </c>
      <c r="C20" s="88"/>
      <c r="D20" s="88"/>
      <c r="E20" s="88"/>
    </row>
    <row r="21" spans="1:5" ht="16.5" customHeight="1" x14ac:dyDescent="0.3">
      <c r="A21" s="86" t="s">
        <v>10</v>
      </c>
      <c r="B21" s="91">
        <f>B20/50</f>
        <v>0.35539999999999999</v>
      </c>
      <c r="C21" s="88"/>
      <c r="D21" s="88"/>
      <c r="E21" s="88"/>
    </row>
    <row r="22" spans="1:5" ht="15.75" customHeight="1" x14ac:dyDescent="0.25">
      <c r="A22" s="88"/>
      <c r="B22" s="88" t="s">
        <v>136</v>
      </c>
      <c r="C22" s="88"/>
      <c r="D22" s="88"/>
      <c r="E22" s="88"/>
    </row>
    <row r="23" spans="1:5" ht="16.5" customHeight="1" x14ac:dyDescent="0.3">
      <c r="A23" s="92" t="s">
        <v>13</v>
      </c>
      <c r="B23" s="93" t="s">
        <v>14</v>
      </c>
      <c r="C23" s="92" t="s">
        <v>15</v>
      </c>
      <c r="D23" s="92" t="s">
        <v>16</v>
      </c>
      <c r="E23" s="92" t="s">
        <v>17</v>
      </c>
    </row>
    <row r="24" spans="1:5" ht="16.5" customHeight="1" x14ac:dyDescent="0.3">
      <c r="A24" s="94">
        <v>1</v>
      </c>
      <c r="B24" s="95">
        <v>16792893</v>
      </c>
      <c r="C24" s="95">
        <v>19677.3</v>
      </c>
      <c r="D24" s="96">
        <v>1</v>
      </c>
      <c r="E24" s="97">
        <v>7.3</v>
      </c>
    </row>
    <row r="25" spans="1:5" ht="16.5" customHeight="1" x14ac:dyDescent="0.3">
      <c r="A25" s="94">
        <v>2</v>
      </c>
      <c r="B25" s="95">
        <v>16718480</v>
      </c>
      <c r="C25" s="95">
        <v>21053</v>
      </c>
      <c r="D25" s="96">
        <v>1</v>
      </c>
      <c r="E25" s="96">
        <v>7.3</v>
      </c>
    </row>
    <row r="26" spans="1:5" ht="16.5" customHeight="1" x14ac:dyDescent="0.3">
      <c r="A26" s="94">
        <v>3</v>
      </c>
      <c r="B26" s="95">
        <v>16471767</v>
      </c>
      <c r="C26" s="95">
        <v>20166.3</v>
      </c>
      <c r="D26" s="96">
        <v>1</v>
      </c>
      <c r="E26" s="96">
        <v>7.3</v>
      </c>
    </row>
    <row r="27" spans="1:5" ht="16.5" customHeight="1" x14ac:dyDescent="0.3">
      <c r="A27" s="94">
        <v>4</v>
      </c>
      <c r="B27" s="95">
        <v>16767195</v>
      </c>
      <c r="C27" s="95">
        <v>21425</v>
      </c>
      <c r="D27" s="96">
        <v>1</v>
      </c>
      <c r="E27" s="96">
        <v>7.3</v>
      </c>
    </row>
    <row r="28" spans="1:5" ht="16.5" customHeight="1" x14ac:dyDescent="0.3">
      <c r="A28" s="94">
        <v>5</v>
      </c>
      <c r="B28" s="95">
        <v>16663462</v>
      </c>
      <c r="C28" s="95">
        <v>21738.400000000001</v>
      </c>
      <c r="D28" s="96">
        <v>1</v>
      </c>
      <c r="E28" s="96">
        <v>7.3</v>
      </c>
    </row>
    <row r="29" spans="1:5" ht="16.5" customHeight="1" x14ac:dyDescent="0.3">
      <c r="A29" s="94">
        <v>6</v>
      </c>
      <c r="B29" s="98">
        <v>16775035</v>
      </c>
      <c r="C29" s="98">
        <v>21409.8</v>
      </c>
      <c r="D29" s="99">
        <v>1</v>
      </c>
      <c r="E29" s="99">
        <v>7.3</v>
      </c>
    </row>
    <row r="30" spans="1:5" ht="16.5" customHeight="1" x14ac:dyDescent="0.3">
      <c r="A30" s="100" t="s">
        <v>18</v>
      </c>
      <c r="B30" s="101">
        <f>AVERAGE(B24:B29)</f>
        <v>16698138.666666666</v>
      </c>
      <c r="C30" s="102">
        <f>AVERAGE(C24:C29)</f>
        <v>20911.633333333335</v>
      </c>
      <c r="D30" s="103">
        <f>AVERAGE(D24:D29)</f>
        <v>1</v>
      </c>
      <c r="E30" s="103">
        <f>AVERAGE(E24:E29)</f>
        <v>7.3</v>
      </c>
    </row>
    <row r="31" spans="1:5" ht="16.5" customHeight="1" x14ac:dyDescent="0.3">
      <c r="A31" s="104" t="s">
        <v>19</v>
      </c>
      <c r="B31" s="105">
        <f>(STDEV(B24:B29)/B30)</f>
        <v>7.2123628442571043E-3</v>
      </c>
      <c r="C31" s="106"/>
      <c r="D31" s="106"/>
      <c r="E31" s="107"/>
    </row>
    <row r="32" spans="1:5" s="81" customFormat="1" ht="16.5" customHeight="1" x14ac:dyDescent="0.3">
      <c r="A32" s="108" t="s">
        <v>20</v>
      </c>
      <c r="B32" s="109">
        <f>COUNT(B24:B29)</f>
        <v>6</v>
      </c>
      <c r="C32" s="110"/>
      <c r="D32" s="111"/>
      <c r="E32" s="112"/>
    </row>
    <row r="33" spans="1:5" s="81" customFormat="1" ht="15.75" customHeight="1" x14ac:dyDescent="0.25">
      <c r="A33" s="88"/>
      <c r="B33" s="88"/>
      <c r="C33" s="88"/>
      <c r="D33" s="88"/>
      <c r="E33" s="88"/>
    </row>
    <row r="34" spans="1:5" s="81" customFormat="1" ht="16.5" customHeight="1" x14ac:dyDescent="0.3">
      <c r="A34" s="89" t="s">
        <v>21</v>
      </c>
      <c r="B34" s="113" t="s">
        <v>22</v>
      </c>
      <c r="C34" s="114"/>
      <c r="D34" s="114"/>
      <c r="E34" s="114"/>
    </row>
    <row r="35" spans="1:5" ht="16.5" customHeight="1" x14ac:dyDescent="0.3">
      <c r="A35" s="89"/>
      <c r="B35" s="113" t="s">
        <v>23</v>
      </c>
      <c r="C35" s="114"/>
      <c r="D35" s="114"/>
      <c r="E35" s="114"/>
    </row>
    <row r="36" spans="1:5" ht="16.5" customHeight="1" x14ac:dyDescent="0.3">
      <c r="A36" s="89"/>
      <c r="B36" s="113" t="s">
        <v>24</v>
      </c>
      <c r="C36" s="114"/>
      <c r="D36" s="114"/>
      <c r="E36" s="114"/>
    </row>
    <row r="37" spans="1:5" ht="15.75" customHeight="1" x14ac:dyDescent="0.25">
      <c r="A37" s="88"/>
      <c r="B37" s="88"/>
      <c r="C37" s="88"/>
      <c r="D37" s="88"/>
      <c r="E37" s="88"/>
    </row>
    <row r="38" spans="1:5" ht="16.5" customHeight="1" x14ac:dyDescent="0.3">
      <c r="A38" s="84" t="s">
        <v>1</v>
      </c>
      <c r="B38" s="85" t="s">
        <v>25</v>
      </c>
    </row>
    <row r="39" spans="1:5" ht="16.5" customHeight="1" x14ac:dyDescent="0.3">
      <c r="A39" s="89" t="s">
        <v>4</v>
      </c>
      <c r="B39" s="86"/>
      <c r="C39" s="88"/>
      <c r="D39" s="88"/>
      <c r="E39" s="88"/>
    </row>
    <row r="40" spans="1:5" ht="16.5" customHeight="1" x14ac:dyDescent="0.3">
      <c r="A40" s="89" t="s">
        <v>6</v>
      </c>
      <c r="B40" s="90"/>
      <c r="C40" s="88"/>
      <c r="D40" s="88"/>
      <c r="E40" s="88"/>
    </row>
    <row r="41" spans="1:5" ht="16.5" customHeight="1" x14ac:dyDescent="0.3">
      <c r="A41" s="86" t="s">
        <v>8</v>
      </c>
      <c r="B41" s="90"/>
      <c r="C41" s="88"/>
      <c r="D41" s="88"/>
      <c r="E41" s="88"/>
    </row>
    <row r="42" spans="1:5" ht="16.5" customHeight="1" x14ac:dyDescent="0.3">
      <c r="A42" s="86" t="s">
        <v>10</v>
      </c>
      <c r="B42" s="91"/>
      <c r="C42" s="88"/>
      <c r="D42" s="88"/>
      <c r="E42" s="88"/>
    </row>
    <row r="43" spans="1:5" ht="15.75" customHeight="1" x14ac:dyDescent="0.25">
      <c r="A43" s="88"/>
      <c r="B43" s="88"/>
      <c r="C43" s="88"/>
      <c r="D43" s="88"/>
      <c r="E43" s="88"/>
    </row>
    <row r="44" spans="1:5" ht="16.5" customHeight="1" x14ac:dyDescent="0.3">
      <c r="A44" s="92" t="s">
        <v>13</v>
      </c>
      <c r="B44" s="93" t="s">
        <v>14</v>
      </c>
      <c r="C44" s="92" t="s">
        <v>15</v>
      </c>
      <c r="D44" s="92" t="s">
        <v>16</v>
      </c>
      <c r="E44" s="92" t="s">
        <v>17</v>
      </c>
    </row>
    <row r="45" spans="1:5" ht="16.5" customHeight="1" x14ac:dyDescent="0.3">
      <c r="A45" s="94">
        <v>1</v>
      </c>
      <c r="B45" s="95"/>
      <c r="C45" s="95"/>
      <c r="D45" s="96"/>
      <c r="E45" s="97"/>
    </row>
    <row r="46" spans="1:5" ht="16.5" customHeight="1" x14ac:dyDescent="0.3">
      <c r="A46" s="94">
        <v>2</v>
      </c>
      <c r="B46" s="95"/>
      <c r="C46" s="95"/>
      <c r="D46" s="96"/>
      <c r="E46" s="96"/>
    </row>
    <row r="47" spans="1:5" ht="16.5" customHeight="1" x14ac:dyDescent="0.3">
      <c r="A47" s="94">
        <v>3</v>
      </c>
      <c r="B47" s="95"/>
      <c r="C47" s="95"/>
      <c r="D47" s="96"/>
      <c r="E47" s="96"/>
    </row>
    <row r="48" spans="1:5" ht="16.5" customHeight="1" x14ac:dyDescent="0.3">
      <c r="A48" s="94">
        <v>4</v>
      </c>
      <c r="B48" s="95"/>
      <c r="C48" s="95"/>
      <c r="D48" s="96"/>
      <c r="E48" s="96"/>
    </row>
    <row r="49" spans="1:7" ht="16.5" customHeight="1" x14ac:dyDescent="0.3">
      <c r="A49" s="94">
        <v>5</v>
      </c>
      <c r="B49" s="95"/>
      <c r="C49" s="95"/>
      <c r="D49" s="96"/>
      <c r="E49" s="96"/>
    </row>
    <row r="50" spans="1:7" ht="16.5" customHeight="1" x14ac:dyDescent="0.3">
      <c r="A50" s="94">
        <v>6</v>
      </c>
      <c r="B50" s="98"/>
      <c r="C50" s="98"/>
      <c r="D50" s="99"/>
      <c r="E50" s="99"/>
    </row>
    <row r="51" spans="1:7" ht="16.5" customHeight="1" x14ac:dyDescent="0.3">
      <c r="A51" s="100" t="s">
        <v>18</v>
      </c>
      <c r="B51" s="101" t="e">
        <f>AVERAGE(B45:B50)</f>
        <v>#DIV/0!</v>
      </c>
      <c r="C51" s="102" t="e">
        <f>AVERAGE(C45:C50)</f>
        <v>#DIV/0!</v>
      </c>
      <c r="D51" s="103" t="e">
        <f>AVERAGE(D45:D50)</f>
        <v>#DIV/0!</v>
      </c>
      <c r="E51" s="103" t="e">
        <f>AVERAGE(E45:E50)</f>
        <v>#DIV/0!</v>
      </c>
    </row>
    <row r="52" spans="1:7" ht="16.5" customHeight="1" x14ac:dyDescent="0.3">
      <c r="A52" s="104" t="s">
        <v>19</v>
      </c>
      <c r="B52" s="105" t="e">
        <f>(STDEV(B45:B50)/B51)</f>
        <v>#DIV/0!</v>
      </c>
      <c r="C52" s="106"/>
      <c r="D52" s="106"/>
      <c r="E52" s="107"/>
    </row>
    <row r="53" spans="1:7" s="81" customFormat="1" ht="16.5" customHeight="1" x14ac:dyDescent="0.3">
      <c r="A53" s="108" t="s">
        <v>20</v>
      </c>
      <c r="B53" s="109">
        <f>COUNT(B45:B50)</f>
        <v>0</v>
      </c>
      <c r="C53" s="110"/>
      <c r="D53" s="111"/>
      <c r="E53" s="112"/>
    </row>
    <row r="54" spans="1:7" s="81" customFormat="1" ht="15.75" customHeight="1" x14ac:dyDescent="0.25">
      <c r="A54" s="88"/>
      <c r="B54" s="88"/>
      <c r="C54" s="88"/>
      <c r="D54" s="88"/>
      <c r="E54" s="88"/>
    </row>
    <row r="55" spans="1:7" s="81" customFormat="1" ht="16.5" customHeight="1" x14ac:dyDescent="0.3">
      <c r="A55" s="89" t="s">
        <v>21</v>
      </c>
      <c r="B55" s="113" t="s">
        <v>22</v>
      </c>
      <c r="C55" s="114"/>
      <c r="D55" s="114"/>
      <c r="E55" s="114"/>
    </row>
    <row r="56" spans="1:7" ht="16.5" customHeight="1" x14ac:dyDescent="0.3">
      <c r="A56" s="89"/>
      <c r="B56" s="113" t="s">
        <v>23</v>
      </c>
      <c r="C56" s="114"/>
      <c r="D56" s="114"/>
      <c r="E56" s="114"/>
    </row>
    <row r="57" spans="1:7" ht="16.5" customHeight="1" x14ac:dyDescent="0.3">
      <c r="A57" s="89"/>
      <c r="B57" s="113" t="s">
        <v>24</v>
      </c>
      <c r="C57" s="114"/>
      <c r="D57" s="114"/>
      <c r="E57" s="114"/>
    </row>
    <row r="58" spans="1:7" ht="14.25" customHeight="1" thickBot="1" x14ac:dyDescent="0.3">
      <c r="A58" s="115"/>
      <c r="B58" s="116"/>
      <c r="D58" s="117"/>
      <c r="F58" s="118"/>
      <c r="G58" s="118"/>
    </row>
    <row r="59" spans="1:7" ht="15" customHeight="1" x14ac:dyDescent="0.3">
      <c r="B59" s="119" t="s">
        <v>26</v>
      </c>
      <c r="C59" s="119"/>
      <c r="E59" s="120" t="s">
        <v>27</v>
      </c>
      <c r="F59" s="121"/>
      <c r="G59" s="120" t="s">
        <v>28</v>
      </c>
    </row>
    <row r="60" spans="1:7" ht="15" customHeight="1" x14ac:dyDescent="0.3">
      <c r="A60" s="122" t="s">
        <v>29</v>
      </c>
      <c r="B60" s="123"/>
      <c r="C60" s="123"/>
      <c r="E60" s="123"/>
      <c r="G60" s="123"/>
    </row>
    <row r="61" spans="1:7" ht="15" customHeight="1" x14ac:dyDescent="0.3">
      <c r="A61" s="122" t="s">
        <v>30</v>
      </c>
      <c r="B61" s="124"/>
      <c r="C61" s="124"/>
      <c r="E61" s="124"/>
      <c r="G61" s="1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1" zoomScaleNormal="40" zoomScalePageLayoutView="41" workbookViewId="0">
      <selection activeCell="B19" sqref="B19"/>
    </sheetView>
  </sheetViews>
  <sheetFormatPr defaultColWidth="9.140625" defaultRowHeight="13.5" x14ac:dyDescent="0.25"/>
  <cols>
    <col min="1" max="1" width="55.42578125" style="81" customWidth="1"/>
    <col min="2" max="2" width="33.7109375" style="81" customWidth="1"/>
    <col min="3" max="3" width="42.28515625" style="81" customWidth="1"/>
    <col min="4" max="4" width="30.5703125" style="81" customWidth="1"/>
    <col min="5" max="5" width="39.85546875" style="81" customWidth="1"/>
    <col min="6" max="6" width="30.7109375" style="81" customWidth="1"/>
    <col min="7" max="7" width="39.85546875" style="81" customWidth="1"/>
    <col min="8" max="8" width="30" style="81" customWidth="1"/>
    <col min="9" max="9" width="30.28515625" style="81" hidden="1" customWidth="1"/>
    <col min="10" max="10" width="30.42578125" style="81" customWidth="1"/>
    <col min="11" max="11" width="21.28515625" style="81" customWidth="1"/>
    <col min="12" max="12" width="9.140625" style="81"/>
    <col min="13" max="16384" width="9.140625" style="118"/>
  </cols>
  <sheetData>
    <row r="1" spans="1:9" ht="18.75" customHeight="1" x14ac:dyDescent="0.25">
      <c r="A1" s="126" t="s">
        <v>49</v>
      </c>
      <c r="B1" s="126"/>
      <c r="C1" s="126"/>
      <c r="D1" s="126"/>
      <c r="E1" s="126"/>
      <c r="F1" s="126"/>
      <c r="G1" s="126"/>
      <c r="H1" s="126"/>
      <c r="I1" s="126"/>
    </row>
    <row r="2" spans="1:9" ht="18.7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</row>
    <row r="3" spans="1:9" ht="18.75" customHeight="1" x14ac:dyDescent="0.25">
      <c r="A3" s="126"/>
      <c r="B3" s="126"/>
      <c r="C3" s="126"/>
      <c r="D3" s="126"/>
      <c r="E3" s="126"/>
      <c r="F3" s="126"/>
      <c r="G3" s="126"/>
      <c r="H3" s="126"/>
      <c r="I3" s="126"/>
    </row>
    <row r="4" spans="1:9" ht="18.75" customHeight="1" x14ac:dyDescent="0.25">
      <c r="A4" s="126"/>
      <c r="B4" s="126"/>
      <c r="C4" s="126"/>
      <c r="D4" s="126"/>
      <c r="E4" s="126"/>
      <c r="F4" s="126"/>
      <c r="G4" s="126"/>
      <c r="H4" s="126"/>
      <c r="I4" s="126"/>
    </row>
    <row r="5" spans="1:9" ht="18.75" customHeight="1" x14ac:dyDescent="0.25">
      <c r="A5" s="126"/>
      <c r="B5" s="126"/>
      <c r="C5" s="126"/>
      <c r="D5" s="126"/>
      <c r="E5" s="126"/>
      <c r="F5" s="126"/>
      <c r="G5" s="126"/>
      <c r="H5" s="126"/>
      <c r="I5" s="126"/>
    </row>
    <row r="6" spans="1:9" ht="18.75" customHeight="1" x14ac:dyDescent="0.25">
      <c r="A6" s="126"/>
      <c r="B6" s="126"/>
      <c r="C6" s="126"/>
      <c r="D6" s="126"/>
      <c r="E6" s="126"/>
      <c r="F6" s="126"/>
      <c r="G6" s="126"/>
      <c r="H6" s="126"/>
      <c r="I6" s="126"/>
    </row>
    <row r="7" spans="1:9" ht="18.75" customHeight="1" x14ac:dyDescent="0.25">
      <c r="A7" s="126"/>
      <c r="B7" s="126"/>
      <c r="C7" s="126"/>
      <c r="D7" s="126"/>
      <c r="E7" s="126"/>
      <c r="F7" s="126"/>
      <c r="G7" s="126"/>
      <c r="H7" s="126"/>
      <c r="I7" s="126"/>
    </row>
    <row r="8" spans="1:9" x14ac:dyDescent="0.25">
      <c r="A8" s="127" t="s">
        <v>50</v>
      </c>
      <c r="B8" s="127"/>
      <c r="C8" s="127"/>
      <c r="D8" s="127"/>
      <c r="E8" s="127"/>
      <c r="F8" s="127"/>
      <c r="G8" s="127"/>
      <c r="H8" s="127"/>
      <c r="I8" s="127"/>
    </row>
    <row r="9" spans="1:9" x14ac:dyDescent="0.25">
      <c r="A9" s="127"/>
      <c r="B9" s="127"/>
      <c r="C9" s="127"/>
      <c r="D9" s="127"/>
      <c r="E9" s="127"/>
      <c r="F9" s="127"/>
      <c r="G9" s="127"/>
      <c r="H9" s="127"/>
      <c r="I9" s="127"/>
    </row>
    <row r="10" spans="1:9" x14ac:dyDescent="0.25">
      <c r="A10" s="127"/>
      <c r="B10" s="127"/>
      <c r="C10" s="127"/>
      <c r="D10" s="127"/>
      <c r="E10" s="127"/>
      <c r="F10" s="127"/>
      <c r="G10" s="127"/>
      <c r="H10" s="127"/>
      <c r="I10" s="127"/>
    </row>
    <row r="11" spans="1:9" x14ac:dyDescent="0.25">
      <c r="A11" s="127"/>
      <c r="B11" s="127"/>
      <c r="C11" s="127"/>
      <c r="D11" s="127"/>
      <c r="E11" s="127"/>
      <c r="F11" s="127"/>
      <c r="G11" s="127"/>
      <c r="H11" s="127"/>
      <c r="I11" s="127"/>
    </row>
    <row r="12" spans="1:9" x14ac:dyDescent="0.25">
      <c r="A12" s="127"/>
      <c r="B12" s="127"/>
      <c r="C12" s="127"/>
      <c r="D12" s="127"/>
      <c r="E12" s="127"/>
      <c r="F12" s="127"/>
      <c r="G12" s="127"/>
      <c r="H12" s="127"/>
      <c r="I12" s="127"/>
    </row>
    <row r="13" spans="1:9" x14ac:dyDescent="0.25">
      <c r="A13" s="127"/>
      <c r="B13" s="127"/>
      <c r="C13" s="127"/>
      <c r="D13" s="127"/>
      <c r="E13" s="127"/>
      <c r="F13" s="127"/>
      <c r="G13" s="127"/>
      <c r="H13" s="127"/>
      <c r="I13" s="127"/>
    </row>
    <row r="14" spans="1:9" x14ac:dyDescent="0.25">
      <c r="A14" s="127"/>
      <c r="B14" s="127"/>
      <c r="C14" s="127"/>
      <c r="D14" s="127"/>
      <c r="E14" s="127"/>
      <c r="F14" s="127"/>
      <c r="G14" s="127"/>
      <c r="H14" s="127"/>
      <c r="I14" s="127"/>
    </row>
    <row r="15" spans="1:9" ht="19.5" customHeight="1" thickBot="1" x14ac:dyDescent="0.35">
      <c r="A15" s="128"/>
    </row>
    <row r="16" spans="1:9" ht="19.5" customHeight="1" thickBot="1" x14ac:dyDescent="0.35">
      <c r="A16" s="129" t="s">
        <v>31</v>
      </c>
      <c r="B16" s="130"/>
      <c r="C16" s="130"/>
      <c r="D16" s="130"/>
      <c r="E16" s="130"/>
      <c r="F16" s="130"/>
      <c r="G16" s="130"/>
      <c r="H16" s="131"/>
    </row>
    <row r="17" spans="1:14" ht="20.25" customHeight="1" x14ac:dyDescent="0.25">
      <c r="A17" s="132" t="s">
        <v>51</v>
      </c>
      <c r="B17" s="132"/>
      <c r="C17" s="132"/>
      <c r="D17" s="132"/>
      <c r="E17" s="132"/>
      <c r="F17" s="132"/>
      <c r="G17" s="132"/>
      <c r="H17" s="132"/>
    </row>
    <row r="18" spans="1:14" ht="26.25" customHeight="1" x14ac:dyDescent="0.4">
      <c r="A18" s="133" t="s">
        <v>33</v>
      </c>
      <c r="B18" s="134" t="s">
        <v>5</v>
      </c>
      <c r="C18" s="134"/>
      <c r="D18" s="135"/>
      <c r="E18" s="136"/>
      <c r="F18" s="137"/>
      <c r="G18" s="137"/>
      <c r="H18" s="137"/>
    </row>
    <row r="19" spans="1:14" ht="26.25" customHeight="1" x14ac:dyDescent="0.4">
      <c r="A19" s="133" t="s">
        <v>34</v>
      </c>
      <c r="B19" s="138" t="s">
        <v>7</v>
      </c>
      <c r="C19" s="137">
        <v>1</v>
      </c>
      <c r="D19" s="137"/>
      <c r="E19" s="137"/>
      <c r="F19" s="137"/>
      <c r="G19" s="137"/>
      <c r="H19" s="137"/>
    </row>
    <row r="20" spans="1:14" ht="26.25" customHeight="1" x14ac:dyDescent="0.4">
      <c r="A20" s="133" t="s">
        <v>35</v>
      </c>
      <c r="B20" s="139" t="s">
        <v>9</v>
      </c>
      <c r="C20" s="139"/>
      <c r="D20" s="137"/>
      <c r="E20" s="137"/>
      <c r="F20" s="137"/>
      <c r="G20" s="137"/>
      <c r="H20" s="137"/>
    </row>
    <row r="21" spans="1:14" ht="26.25" customHeight="1" x14ac:dyDescent="0.4">
      <c r="A21" s="133" t="s">
        <v>36</v>
      </c>
      <c r="B21" s="139" t="s">
        <v>11</v>
      </c>
      <c r="C21" s="139"/>
      <c r="D21" s="139"/>
      <c r="E21" s="139"/>
      <c r="F21" s="139"/>
      <c r="G21" s="139"/>
      <c r="H21" s="139"/>
      <c r="I21" s="140"/>
    </row>
    <row r="22" spans="1:14" ht="26.25" customHeight="1" x14ac:dyDescent="0.4">
      <c r="A22" s="133" t="s">
        <v>37</v>
      </c>
      <c r="B22" s="141" t="s">
        <v>136</v>
      </c>
      <c r="C22" s="137"/>
      <c r="D22" s="137"/>
      <c r="E22" s="137"/>
      <c r="F22" s="137"/>
      <c r="G22" s="137"/>
      <c r="H22" s="137"/>
    </row>
    <row r="23" spans="1:14" ht="26.25" customHeight="1" x14ac:dyDescent="0.4">
      <c r="A23" s="133" t="s">
        <v>38</v>
      </c>
      <c r="B23" s="141"/>
      <c r="C23" s="137"/>
      <c r="D23" s="137"/>
      <c r="E23" s="137"/>
      <c r="F23" s="137"/>
      <c r="G23" s="137"/>
      <c r="H23" s="137"/>
    </row>
    <row r="24" spans="1:14" ht="18.75" x14ac:dyDescent="0.3">
      <c r="A24" s="133"/>
      <c r="B24" s="142"/>
    </row>
    <row r="25" spans="1:14" ht="18.75" x14ac:dyDescent="0.3">
      <c r="A25" s="143" t="s">
        <v>1</v>
      </c>
      <c r="B25" s="142"/>
    </row>
    <row r="26" spans="1:14" ht="26.25" customHeight="1" x14ac:dyDescent="0.4">
      <c r="A26" s="144" t="s">
        <v>4</v>
      </c>
      <c r="B26" s="134" t="s">
        <v>135</v>
      </c>
      <c r="C26" s="134"/>
    </row>
    <row r="27" spans="1:14" ht="26.25" customHeight="1" x14ac:dyDescent="0.4">
      <c r="A27" s="145" t="s">
        <v>52</v>
      </c>
      <c r="B27" s="146" t="s">
        <v>137</v>
      </c>
      <c r="C27" s="146"/>
    </row>
    <row r="28" spans="1:14" ht="27" customHeight="1" thickBot="1" x14ac:dyDescent="0.45">
      <c r="A28" s="145" t="s">
        <v>6</v>
      </c>
      <c r="B28" s="147">
        <v>98.45</v>
      </c>
    </row>
    <row r="29" spans="1:14" s="92" customFormat="1" ht="27" customHeight="1" thickBot="1" x14ac:dyDescent="0.45">
      <c r="A29" s="145" t="s">
        <v>53</v>
      </c>
      <c r="B29" s="148">
        <v>0</v>
      </c>
      <c r="C29" s="149" t="s">
        <v>54</v>
      </c>
      <c r="D29" s="150"/>
      <c r="E29" s="150"/>
      <c r="F29" s="150"/>
      <c r="G29" s="151"/>
      <c r="I29" s="152"/>
      <c r="J29" s="152"/>
      <c r="K29" s="152"/>
      <c r="L29" s="152"/>
    </row>
    <row r="30" spans="1:14" s="92" customFormat="1" ht="19.5" customHeight="1" thickBot="1" x14ac:dyDescent="0.35">
      <c r="A30" s="145" t="s">
        <v>55</v>
      </c>
      <c r="B30" s="153">
        <f>B28-B29</f>
        <v>98.45</v>
      </c>
      <c r="C30" s="154"/>
      <c r="D30" s="154"/>
      <c r="E30" s="154"/>
      <c r="F30" s="154"/>
      <c r="G30" s="155"/>
      <c r="I30" s="152"/>
      <c r="J30" s="152"/>
      <c r="K30" s="152"/>
      <c r="L30" s="152"/>
    </row>
    <row r="31" spans="1:14" s="92" customFormat="1" ht="27" customHeight="1" thickBot="1" x14ac:dyDescent="0.45">
      <c r="A31" s="145" t="s">
        <v>56</v>
      </c>
      <c r="B31" s="156">
        <v>888.88</v>
      </c>
      <c r="C31" s="157" t="s">
        <v>57</v>
      </c>
      <c r="D31" s="158"/>
      <c r="E31" s="158"/>
      <c r="F31" s="158"/>
      <c r="G31" s="158"/>
      <c r="H31" s="159"/>
      <c r="I31" s="152"/>
      <c r="J31" s="152"/>
      <c r="K31" s="152"/>
      <c r="L31" s="152"/>
    </row>
    <row r="32" spans="1:14" s="92" customFormat="1" ht="27" customHeight="1" thickBot="1" x14ac:dyDescent="0.45">
      <c r="A32" s="145" t="s">
        <v>58</v>
      </c>
      <c r="B32" s="156">
        <v>1025.8699999999999</v>
      </c>
      <c r="C32" s="157" t="s">
        <v>59</v>
      </c>
      <c r="D32" s="158"/>
      <c r="E32" s="158"/>
      <c r="F32" s="158"/>
      <c r="G32" s="158"/>
      <c r="H32" s="159"/>
      <c r="I32" s="152"/>
      <c r="J32" s="152"/>
      <c r="K32" s="152"/>
      <c r="L32" s="160"/>
      <c r="M32" s="160"/>
      <c r="N32" s="161"/>
    </row>
    <row r="33" spans="1:14" s="92" customFormat="1" ht="17.25" customHeight="1" x14ac:dyDescent="0.3">
      <c r="A33" s="145"/>
      <c r="B33" s="162"/>
      <c r="C33" s="163"/>
      <c r="D33" s="163"/>
      <c r="E33" s="163"/>
      <c r="F33" s="163"/>
      <c r="G33" s="163"/>
      <c r="H33" s="163"/>
      <c r="I33" s="152"/>
      <c r="J33" s="152"/>
      <c r="K33" s="152"/>
      <c r="L33" s="160"/>
      <c r="M33" s="160"/>
      <c r="N33" s="161"/>
    </row>
    <row r="34" spans="1:14" s="92" customFormat="1" ht="18.75" x14ac:dyDescent="0.3">
      <c r="A34" s="145" t="s">
        <v>60</v>
      </c>
      <c r="B34" s="164">
        <f>B31/B32</f>
        <v>0.86646456178658127</v>
      </c>
      <c r="C34" s="128" t="s">
        <v>61</v>
      </c>
      <c r="D34" s="128"/>
      <c r="E34" s="128"/>
      <c r="F34" s="128"/>
      <c r="G34" s="128"/>
      <c r="I34" s="152"/>
      <c r="J34" s="152"/>
      <c r="K34" s="152"/>
      <c r="L34" s="160"/>
      <c r="M34" s="160"/>
      <c r="N34" s="161"/>
    </row>
    <row r="35" spans="1:14" s="92" customFormat="1" ht="19.5" customHeight="1" thickBot="1" x14ac:dyDescent="0.35">
      <c r="A35" s="145"/>
      <c r="B35" s="153"/>
      <c r="G35" s="128"/>
      <c r="I35" s="152"/>
      <c r="J35" s="152"/>
      <c r="K35" s="152"/>
      <c r="L35" s="160"/>
      <c r="M35" s="160"/>
      <c r="N35" s="161"/>
    </row>
    <row r="36" spans="1:14" s="92" customFormat="1" ht="27" customHeight="1" thickBot="1" x14ac:dyDescent="0.45">
      <c r="A36" s="165" t="s">
        <v>62</v>
      </c>
      <c r="B36" s="166">
        <v>50</v>
      </c>
      <c r="C36" s="128"/>
      <c r="D36" s="167" t="s">
        <v>63</v>
      </c>
      <c r="E36" s="168"/>
      <c r="F36" s="167" t="s">
        <v>64</v>
      </c>
      <c r="G36" s="169"/>
      <c r="J36" s="152"/>
      <c r="K36" s="152"/>
      <c r="L36" s="160"/>
      <c r="M36" s="160"/>
      <c r="N36" s="161"/>
    </row>
    <row r="37" spans="1:14" s="92" customFormat="1" ht="27" customHeight="1" thickBot="1" x14ac:dyDescent="0.45">
      <c r="A37" s="170" t="s">
        <v>65</v>
      </c>
      <c r="B37" s="171">
        <v>1</v>
      </c>
      <c r="C37" s="172" t="s">
        <v>66</v>
      </c>
      <c r="D37" s="173" t="s">
        <v>67</v>
      </c>
      <c r="E37" s="174" t="s">
        <v>68</v>
      </c>
      <c r="F37" s="173" t="s">
        <v>67</v>
      </c>
      <c r="G37" s="175" t="s">
        <v>68</v>
      </c>
      <c r="I37" s="176" t="s">
        <v>69</v>
      </c>
      <c r="J37" s="152"/>
      <c r="K37" s="152"/>
      <c r="L37" s="160"/>
      <c r="M37" s="160"/>
      <c r="N37" s="161"/>
    </row>
    <row r="38" spans="1:14" s="92" customFormat="1" ht="26.25" customHeight="1" x14ac:dyDescent="0.4">
      <c r="A38" s="170" t="s">
        <v>70</v>
      </c>
      <c r="B38" s="171">
        <v>1</v>
      </c>
      <c r="C38" s="177">
        <v>1</v>
      </c>
      <c r="D38" s="178">
        <v>17066562</v>
      </c>
      <c r="E38" s="179">
        <f>IF(ISBLANK(D38),"-",$D$48/$D$45*D38)</f>
        <v>16888199.425029326</v>
      </c>
      <c r="F38" s="178">
        <v>14915022</v>
      </c>
      <c r="G38" s="180">
        <f>IF(ISBLANK(F38),"-",$D$48/$F$45*F38)</f>
        <v>16715743.117831236</v>
      </c>
      <c r="I38" s="181"/>
      <c r="J38" s="152"/>
      <c r="K38" s="152"/>
      <c r="L38" s="160"/>
      <c r="M38" s="160"/>
      <c r="N38" s="161"/>
    </row>
    <row r="39" spans="1:14" s="92" customFormat="1" ht="26.25" customHeight="1" x14ac:dyDescent="0.4">
      <c r="A39" s="170" t="s">
        <v>71</v>
      </c>
      <c r="B39" s="171">
        <v>1</v>
      </c>
      <c r="C39" s="182">
        <v>2</v>
      </c>
      <c r="D39" s="183">
        <v>16513604</v>
      </c>
      <c r="E39" s="184">
        <f>IF(ISBLANK(D39),"-",$D$48/$D$45*D39)</f>
        <v>16341020.386997802</v>
      </c>
      <c r="F39" s="183">
        <v>15059373</v>
      </c>
      <c r="G39" s="185">
        <f>IF(ISBLANK(F39),"-",$D$48/$F$45*F39)</f>
        <v>16877521.90936115</v>
      </c>
      <c r="I39" s="186">
        <f>ABS((F43/D43*D42)-F42)/D42</f>
        <v>1.4659036954190947E-2</v>
      </c>
      <c r="J39" s="152"/>
      <c r="K39" s="152"/>
      <c r="L39" s="160"/>
      <c r="M39" s="160"/>
      <c r="N39" s="161"/>
    </row>
    <row r="40" spans="1:14" ht="26.25" customHeight="1" x14ac:dyDescent="0.4">
      <c r="A40" s="170" t="s">
        <v>72</v>
      </c>
      <c r="B40" s="171">
        <v>1</v>
      </c>
      <c r="C40" s="182">
        <v>3</v>
      </c>
      <c r="D40" s="183">
        <v>16618671</v>
      </c>
      <c r="E40" s="184">
        <f>IF(ISBLANK(D40),"-",$D$48/$D$45*D40)</f>
        <v>16444989.332177831</v>
      </c>
      <c r="F40" s="183">
        <v>15084474</v>
      </c>
      <c r="G40" s="185">
        <f>IF(ISBLANK(F40),"-",$D$48/$F$45*F40)</f>
        <v>16905653.404440451</v>
      </c>
      <c r="I40" s="186"/>
      <c r="L40" s="160"/>
      <c r="M40" s="160"/>
      <c r="N40" s="128"/>
    </row>
    <row r="41" spans="1:14" ht="27" customHeight="1" thickBot="1" x14ac:dyDescent="0.45">
      <c r="A41" s="170" t="s">
        <v>73</v>
      </c>
      <c r="B41" s="171">
        <v>1</v>
      </c>
      <c r="C41" s="187">
        <v>4</v>
      </c>
      <c r="D41" s="188"/>
      <c r="E41" s="189" t="str">
        <f>IF(ISBLANK(D41),"-",$D$48/$D$45*D41)</f>
        <v>-</v>
      </c>
      <c r="F41" s="188"/>
      <c r="G41" s="190" t="str">
        <f>IF(ISBLANK(F41),"-",$D$48/$F$45*F41)</f>
        <v>-</v>
      </c>
      <c r="I41" s="191"/>
      <c r="L41" s="160"/>
      <c r="M41" s="160"/>
      <c r="N41" s="128"/>
    </row>
    <row r="42" spans="1:14" ht="27" customHeight="1" thickBot="1" x14ac:dyDescent="0.45">
      <c r="A42" s="170" t="s">
        <v>74</v>
      </c>
      <c r="B42" s="171">
        <v>1</v>
      </c>
      <c r="C42" s="192" t="s">
        <v>75</v>
      </c>
      <c r="D42" s="193">
        <f>AVERAGE(D38:D41)</f>
        <v>16732945.666666666</v>
      </c>
      <c r="E42" s="194">
        <f>AVERAGE(E38:E41)</f>
        <v>16558069.714734986</v>
      </c>
      <c r="F42" s="193">
        <f>AVERAGE(F38:F41)</f>
        <v>15019623</v>
      </c>
      <c r="G42" s="195">
        <f>AVERAGE(G38:G41)</f>
        <v>16832972.810544278</v>
      </c>
      <c r="H42" s="116"/>
    </row>
    <row r="43" spans="1:14" ht="26.25" customHeight="1" x14ac:dyDescent="0.4">
      <c r="A43" s="170" t="s">
        <v>76</v>
      </c>
      <c r="B43" s="171">
        <v>1</v>
      </c>
      <c r="C43" s="196" t="s">
        <v>77</v>
      </c>
      <c r="D43" s="197">
        <v>17.77</v>
      </c>
      <c r="E43" s="128"/>
      <c r="F43" s="197">
        <v>15.69</v>
      </c>
      <c r="H43" s="116"/>
    </row>
    <row r="44" spans="1:14" ht="26.25" customHeight="1" x14ac:dyDescent="0.4">
      <c r="A44" s="170" t="s">
        <v>78</v>
      </c>
      <c r="B44" s="171">
        <v>1</v>
      </c>
      <c r="C44" s="198" t="s">
        <v>79</v>
      </c>
      <c r="D44" s="199">
        <f>D43*$B$34</f>
        <v>15.397075262947549</v>
      </c>
      <c r="E44" s="200"/>
      <c r="F44" s="199">
        <f>F43*$B$34</f>
        <v>13.59482897443146</v>
      </c>
      <c r="H44" s="116"/>
    </row>
    <row r="45" spans="1:14" ht="19.5" customHeight="1" thickBot="1" x14ac:dyDescent="0.35">
      <c r="A45" s="170" t="s">
        <v>80</v>
      </c>
      <c r="B45" s="182">
        <f>(B44/B43)*(B42/B41)*(B40/B39)*(B38/B37)*B36</f>
        <v>50</v>
      </c>
      <c r="C45" s="198" t="s">
        <v>81</v>
      </c>
      <c r="D45" s="201">
        <f>D44*$B$30/100</f>
        <v>15.158420596371863</v>
      </c>
      <c r="E45" s="202"/>
      <c r="F45" s="201">
        <f>F44*$B$30/100</f>
        <v>13.384109125327774</v>
      </c>
      <c r="H45" s="116"/>
    </row>
    <row r="46" spans="1:14" ht="19.5" customHeight="1" thickBot="1" x14ac:dyDescent="0.35">
      <c r="A46" s="203" t="s">
        <v>82</v>
      </c>
      <c r="B46" s="204"/>
      <c r="C46" s="198" t="s">
        <v>83</v>
      </c>
      <c r="D46" s="205">
        <f>D45/$B$45</f>
        <v>0.30316841192743726</v>
      </c>
      <c r="E46" s="206"/>
      <c r="F46" s="207">
        <f>F45/$B$45</f>
        <v>0.26768218250655545</v>
      </c>
      <c r="H46" s="116"/>
    </row>
    <row r="47" spans="1:14" ht="27" customHeight="1" thickBot="1" x14ac:dyDescent="0.45">
      <c r="A47" s="208"/>
      <c r="B47" s="209"/>
      <c r="C47" s="210" t="s">
        <v>84</v>
      </c>
      <c r="D47" s="211">
        <v>0.3</v>
      </c>
      <c r="E47" s="212"/>
      <c r="F47" s="206"/>
      <c r="H47" s="116"/>
    </row>
    <row r="48" spans="1:14" ht="18.75" x14ac:dyDescent="0.3">
      <c r="C48" s="213" t="s">
        <v>85</v>
      </c>
      <c r="D48" s="201">
        <f>D47*$B$45</f>
        <v>15</v>
      </c>
      <c r="F48" s="214"/>
      <c r="H48" s="116"/>
    </row>
    <row r="49" spans="1:12" ht="19.5" customHeight="1" thickBot="1" x14ac:dyDescent="0.35">
      <c r="C49" s="215" t="s">
        <v>86</v>
      </c>
      <c r="D49" s="216">
        <f>D48/B34</f>
        <v>17.311729367293669</v>
      </c>
      <c r="F49" s="214"/>
      <c r="H49" s="116"/>
    </row>
    <row r="50" spans="1:12" ht="18.75" x14ac:dyDescent="0.3">
      <c r="C50" s="165" t="s">
        <v>87</v>
      </c>
      <c r="D50" s="217">
        <f>AVERAGE(E38:E41,G38:G41)</f>
        <v>16695521.262639632</v>
      </c>
      <c r="F50" s="218"/>
      <c r="H50" s="116"/>
    </row>
    <row r="51" spans="1:12" ht="18.75" x14ac:dyDescent="0.3">
      <c r="C51" s="170" t="s">
        <v>88</v>
      </c>
      <c r="D51" s="219">
        <f>STDEV(E38:E41,G38:G41)/D50</f>
        <v>1.4750811007810361E-2</v>
      </c>
      <c r="F51" s="218"/>
      <c r="H51" s="116"/>
    </row>
    <row r="52" spans="1:12" ht="19.5" customHeight="1" thickBot="1" x14ac:dyDescent="0.35">
      <c r="C52" s="220" t="s">
        <v>20</v>
      </c>
      <c r="D52" s="221">
        <f>COUNT(E38:E41,G38:G41)</f>
        <v>6</v>
      </c>
      <c r="F52" s="218"/>
    </row>
    <row r="54" spans="1:12" ht="18.75" x14ac:dyDescent="0.3">
      <c r="A54" s="222" t="s">
        <v>1</v>
      </c>
      <c r="B54" s="223" t="s">
        <v>89</v>
      </c>
    </row>
    <row r="55" spans="1:12" ht="18.75" x14ac:dyDescent="0.3">
      <c r="A55" s="128" t="s">
        <v>90</v>
      </c>
      <c r="B55" s="224" t="str">
        <f>B21</f>
        <v>Doxycline Hyclate BP equivalent to unhydrous Doxycline 100 mg</v>
      </c>
    </row>
    <row r="56" spans="1:12" ht="26.25" customHeight="1" x14ac:dyDescent="0.4">
      <c r="A56" s="224" t="s">
        <v>91</v>
      </c>
      <c r="B56" s="225">
        <v>100</v>
      </c>
      <c r="C56" s="128" t="str">
        <f>B20</f>
        <v>Doxycline Hyclate BP</v>
      </c>
      <c r="H56" s="200"/>
    </row>
    <row r="57" spans="1:12" ht="18.75" x14ac:dyDescent="0.3">
      <c r="A57" s="224" t="s">
        <v>92</v>
      </c>
      <c r="B57" s="226">
        <f>Uniformity!D43</f>
        <v>264.38849999999996</v>
      </c>
      <c r="H57" s="200"/>
    </row>
    <row r="58" spans="1:12" ht="19.5" customHeight="1" thickBot="1" x14ac:dyDescent="0.35">
      <c r="H58" s="200"/>
    </row>
    <row r="59" spans="1:12" s="92" customFormat="1" ht="27" customHeight="1" thickBot="1" x14ac:dyDescent="0.45">
      <c r="A59" s="165" t="s">
        <v>93</v>
      </c>
      <c r="B59" s="166">
        <v>100</v>
      </c>
      <c r="C59" s="128"/>
      <c r="D59" s="227" t="s">
        <v>94</v>
      </c>
      <c r="E59" s="228" t="s">
        <v>66</v>
      </c>
      <c r="F59" s="228" t="s">
        <v>67</v>
      </c>
      <c r="G59" s="228" t="s">
        <v>95</v>
      </c>
      <c r="H59" s="172" t="s">
        <v>96</v>
      </c>
      <c r="L59" s="152"/>
    </row>
    <row r="60" spans="1:12" s="92" customFormat="1" ht="26.25" customHeight="1" x14ac:dyDescent="0.4">
      <c r="A60" s="170" t="s">
        <v>97</v>
      </c>
      <c r="B60" s="171">
        <v>5</v>
      </c>
      <c r="C60" s="229" t="s">
        <v>98</v>
      </c>
      <c r="D60" s="230">
        <v>268.20999999999998</v>
      </c>
      <c r="E60" s="231">
        <v>1</v>
      </c>
      <c r="F60" s="232">
        <v>13389268</v>
      </c>
      <c r="G60" s="233">
        <f>IF(ISBLANK(F60),"-",(F60/$D$50*$D$47*$B$68)*($B$57/$D$60))</f>
        <v>94.864930368225359</v>
      </c>
      <c r="H60" s="234">
        <f t="shared" ref="H60:H71" si="0">IF(ISBLANK(F60),"-",(G60/$B$56)*100)</f>
        <v>94.864930368225359</v>
      </c>
      <c r="L60" s="152"/>
    </row>
    <row r="61" spans="1:12" s="92" customFormat="1" ht="26.25" customHeight="1" x14ac:dyDescent="0.4">
      <c r="A61" s="170" t="s">
        <v>99</v>
      </c>
      <c r="B61" s="171">
        <v>20</v>
      </c>
      <c r="C61" s="235"/>
      <c r="D61" s="236"/>
      <c r="E61" s="237">
        <v>2</v>
      </c>
      <c r="F61" s="183">
        <v>13405299</v>
      </c>
      <c r="G61" s="238">
        <f>IF(ISBLANK(F61),"-",(F61/$D$50*$D$47*$B$68)*($B$57/$D$60))</f>
        <v>94.97851235782575</v>
      </c>
      <c r="H61" s="239">
        <f t="shared" si="0"/>
        <v>94.97851235782575</v>
      </c>
      <c r="L61" s="152"/>
    </row>
    <row r="62" spans="1:12" s="92" customFormat="1" ht="26.25" customHeight="1" x14ac:dyDescent="0.4">
      <c r="A62" s="170" t="s">
        <v>100</v>
      </c>
      <c r="B62" s="171">
        <v>1</v>
      </c>
      <c r="C62" s="235"/>
      <c r="D62" s="236"/>
      <c r="E62" s="237">
        <v>3</v>
      </c>
      <c r="F62" s="240">
        <v>13386435</v>
      </c>
      <c r="G62" s="238">
        <f>IF(ISBLANK(F62),"-",(F62/$D$50*$D$47*$B$68)*($B$57/$D$60))</f>
        <v>94.844858147120121</v>
      </c>
      <c r="H62" s="239">
        <f t="shared" si="0"/>
        <v>94.844858147120121</v>
      </c>
      <c r="L62" s="152"/>
    </row>
    <row r="63" spans="1:12" ht="27" customHeight="1" thickBot="1" x14ac:dyDescent="0.45">
      <c r="A63" s="170" t="s">
        <v>101</v>
      </c>
      <c r="B63" s="171">
        <v>1</v>
      </c>
      <c r="C63" s="241"/>
      <c r="D63" s="242"/>
      <c r="E63" s="243">
        <v>4</v>
      </c>
      <c r="F63" s="244"/>
      <c r="G63" s="238" t="str">
        <f>IF(ISBLANK(F63),"-",(F63/$D$50*$D$47*$B$68)*($B$57/$D$60))</f>
        <v>-</v>
      </c>
      <c r="H63" s="239" t="str">
        <f t="shared" si="0"/>
        <v>-</v>
      </c>
    </row>
    <row r="64" spans="1:12" ht="26.25" customHeight="1" x14ac:dyDescent="0.4">
      <c r="A64" s="170" t="s">
        <v>102</v>
      </c>
      <c r="B64" s="171">
        <v>1</v>
      </c>
      <c r="C64" s="229" t="s">
        <v>103</v>
      </c>
      <c r="D64" s="230" t="s">
        <v>138</v>
      </c>
      <c r="E64" s="231">
        <v>1</v>
      </c>
      <c r="F64" s="232"/>
      <c r="G64" s="233" t="str">
        <f>IF(ISBLANK(F64),"-",(F64/$D$50*$D$47*$B$68)*($B$57/$D$64))</f>
        <v>-</v>
      </c>
      <c r="H64" s="234" t="str">
        <f t="shared" si="0"/>
        <v>-</v>
      </c>
    </row>
    <row r="65" spans="1:8" ht="26.25" customHeight="1" x14ac:dyDescent="0.4">
      <c r="A65" s="170" t="s">
        <v>104</v>
      </c>
      <c r="B65" s="171">
        <v>1</v>
      </c>
      <c r="C65" s="235"/>
      <c r="D65" s="236"/>
      <c r="E65" s="237">
        <v>2</v>
      </c>
      <c r="F65" s="183"/>
      <c r="G65" s="238" t="str">
        <f>IF(ISBLANK(F65),"-",(F65/$D$50*$D$47*$B$68)*($B$57/$D$64))</f>
        <v>-</v>
      </c>
      <c r="H65" s="239" t="str">
        <f t="shared" si="0"/>
        <v>-</v>
      </c>
    </row>
    <row r="66" spans="1:8" ht="26.25" customHeight="1" x14ac:dyDescent="0.4">
      <c r="A66" s="170" t="s">
        <v>105</v>
      </c>
      <c r="B66" s="171">
        <v>1</v>
      </c>
      <c r="C66" s="235"/>
      <c r="D66" s="236"/>
      <c r="E66" s="237">
        <v>3</v>
      </c>
      <c r="F66" s="183"/>
      <c r="G66" s="238" t="str">
        <f>IF(ISBLANK(F66),"-",(F66/$D$50*$D$47*$B$68)*($B$57/$D$64))</f>
        <v>-</v>
      </c>
      <c r="H66" s="239" t="str">
        <f t="shared" si="0"/>
        <v>-</v>
      </c>
    </row>
    <row r="67" spans="1:8" ht="27" customHeight="1" thickBot="1" x14ac:dyDescent="0.45">
      <c r="A67" s="170" t="s">
        <v>106</v>
      </c>
      <c r="B67" s="171">
        <v>1</v>
      </c>
      <c r="C67" s="241"/>
      <c r="D67" s="242"/>
      <c r="E67" s="243">
        <v>4</v>
      </c>
      <c r="F67" s="244"/>
      <c r="G67" s="245" t="str">
        <f>IF(ISBLANK(F67),"-",(F67/$D$50*$D$47*$B$68)*($B$57/$D$64))</f>
        <v>-</v>
      </c>
      <c r="H67" s="246" t="str">
        <f t="shared" si="0"/>
        <v>-</v>
      </c>
    </row>
    <row r="68" spans="1:8" ht="26.25" customHeight="1" x14ac:dyDescent="0.4">
      <c r="A68" s="170" t="s">
        <v>107</v>
      </c>
      <c r="B68" s="247">
        <f>(B67/B66)*(B65/B64)*(B63/B62)*(B61/B60)*B59</f>
        <v>400</v>
      </c>
      <c r="C68" s="229" t="s">
        <v>108</v>
      </c>
      <c r="D68" s="230">
        <v>265.35000000000002</v>
      </c>
      <c r="E68" s="231">
        <v>1</v>
      </c>
      <c r="F68" s="232">
        <v>13130616</v>
      </c>
      <c r="G68" s="233">
        <f>IF(ISBLANK(F68),"-",(F68/$D$50*$D$47*$B$68)*($B$57/$D$68))</f>
        <v>94.03506578010844</v>
      </c>
      <c r="H68" s="239">
        <f t="shared" si="0"/>
        <v>94.03506578010844</v>
      </c>
    </row>
    <row r="69" spans="1:8" ht="27" customHeight="1" thickBot="1" x14ac:dyDescent="0.45">
      <c r="A69" s="220" t="s">
        <v>109</v>
      </c>
      <c r="B69" s="248">
        <f>(D47*B68)/B56*B57</f>
        <v>317.26619999999997</v>
      </c>
      <c r="C69" s="235"/>
      <c r="D69" s="236"/>
      <c r="E69" s="237">
        <v>2</v>
      </c>
      <c r="F69" s="183">
        <v>12974310</v>
      </c>
      <c r="G69" s="238">
        <f>IF(ISBLANK(F69),"-",(F69/$D$50*$D$47*$B$68)*($B$57/$D$68))</f>
        <v>92.915678464857905</v>
      </c>
      <c r="H69" s="239">
        <f t="shared" si="0"/>
        <v>92.915678464857905</v>
      </c>
    </row>
    <row r="70" spans="1:8" ht="26.25" customHeight="1" x14ac:dyDescent="0.4">
      <c r="A70" s="249" t="s">
        <v>82</v>
      </c>
      <c r="B70" s="250"/>
      <c r="C70" s="235"/>
      <c r="D70" s="236"/>
      <c r="E70" s="237">
        <v>3</v>
      </c>
      <c r="F70" s="183">
        <v>13104358</v>
      </c>
      <c r="G70" s="238">
        <f>IF(ISBLANK(F70),"-",(F70/$D$50*$D$47*$B$68)*($B$57/$D$68))</f>
        <v>93.847018794555424</v>
      </c>
      <c r="H70" s="239">
        <f t="shared" si="0"/>
        <v>93.847018794555424</v>
      </c>
    </row>
    <row r="71" spans="1:8" ht="27" customHeight="1" thickBot="1" x14ac:dyDescent="0.45">
      <c r="A71" s="251"/>
      <c r="B71" s="252"/>
      <c r="C71" s="253"/>
      <c r="D71" s="242"/>
      <c r="E71" s="243">
        <v>4</v>
      </c>
      <c r="F71" s="244"/>
      <c r="G71" s="245" t="str">
        <f>IF(ISBLANK(F71),"-",(F71/$D$50*$D$47*$B$68)*($B$57/$D$68))</f>
        <v>-</v>
      </c>
      <c r="H71" s="246" t="str">
        <f t="shared" si="0"/>
        <v>-</v>
      </c>
    </row>
    <row r="72" spans="1:8" ht="26.25" customHeight="1" x14ac:dyDescent="0.4">
      <c r="A72" s="200"/>
      <c r="B72" s="200"/>
      <c r="C72" s="200"/>
      <c r="D72" s="200"/>
      <c r="E72" s="200"/>
      <c r="F72" s="254" t="s">
        <v>75</v>
      </c>
      <c r="G72" s="255">
        <f>AVERAGE(G60:G71)</f>
        <v>94.247677318782166</v>
      </c>
      <c r="H72" s="256">
        <f>AVERAGE(H60:H71)</f>
        <v>94.247677318782166</v>
      </c>
    </row>
    <row r="73" spans="1:8" ht="26.25" customHeight="1" x14ac:dyDescent="0.4">
      <c r="C73" s="200"/>
      <c r="D73" s="200"/>
      <c r="E73" s="200"/>
      <c r="F73" s="257" t="s">
        <v>88</v>
      </c>
      <c r="G73" s="258">
        <f>STDEV(G60:G71)/G72</f>
        <v>8.5565647868246358E-3</v>
      </c>
      <c r="H73" s="258">
        <f>STDEV(H60:H71)/H72</f>
        <v>8.5565647868246358E-3</v>
      </c>
    </row>
    <row r="74" spans="1:8" ht="27" customHeight="1" thickBot="1" x14ac:dyDescent="0.45">
      <c r="A74" s="200"/>
      <c r="B74" s="200"/>
      <c r="C74" s="200"/>
      <c r="D74" s="200"/>
      <c r="E74" s="202"/>
      <c r="F74" s="259" t="s">
        <v>20</v>
      </c>
      <c r="G74" s="260">
        <f>COUNT(G60:G71)</f>
        <v>6</v>
      </c>
      <c r="H74" s="260">
        <f>COUNT(H60:H71)</f>
        <v>6</v>
      </c>
    </row>
    <row r="76" spans="1:8" ht="26.25" customHeight="1" x14ac:dyDescent="0.4">
      <c r="A76" s="144" t="s">
        <v>110</v>
      </c>
      <c r="B76" s="145" t="s">
        <v>111</v>
      </c>
      <c r="C76" s="261" t="str">
        <f>B26</f>
        <v>DOXYCYCLINE HYCLATE</v>
      </c>
      <c r="D76" s="261"/>
      <c r="E76" s="128" t="s">
        <v>112</v>
      </c>
      <c r="F76" s="128"/>
      <c r="G76" s="262">
        <f>H72</f>
        <v>94.247677318782166</v>
      </c>
      <c r="H76" s="153"/>
    </row>
    <row r="77" spans="1:8" ht="18.75" x14ac:dyDescent="0.3">
      <c r="A77" s="143" t="s">
        <v>113</v>
      </c>
      <c r="B77" s="143" t="s">
        <v>114</v>
      </c>
    </row>
    <row r="78" spans="1:8" ht="18.75" x14ac:dyDescent="0.3">
      <c r="A78" s="143"/>
      <c r="B78" s="143"/>
    </row>
    <row r="79" spans="1:8" ht="26.25" customHeight="1" x14ac:dyDescent="0.4">
      <c r="A79" s="144" t="s">
        <v>4</v>
      </c>
      <c r="B79" s="263" t="str">
        <f>B26</f>
        <v>DOXYCYCLINE HYCLATE</v>
      </c>
      <c r="C79" s="263"/>
    </row>
    <row r="80" spans="1:8" ht="26.25" customHeight="1" x14ac:dyDescent="0.4">
      <c r="A80" s="145" t="s">
        <v>52</v>
      </c>
      <c r="B80" s="263" t="str">
        <f>B27</f>
        <v>D23-2</v>
      </c>
      <c r="C80" s="263"/>
    </row>
    <row r="81" spans="1:12" ht="27" customHeight="1" thickBot="1" x14ac:dyDescent="0.45">
      <c r="A81" s="145" t="s">
        <v>6</v>
      </c>
      <c r="B81" s="147">
        <f>B28</f>
        <v>98.45</v>
      </c>
    </row>
    <row r="82" spans="1:12" s="92" customFormat="1" ht="27" customHeight="1" thickBot="1" x14ac:dyDescent="0.45">
      <c r="A82" s="145" t="s">
        <v>53</v>
      </c>
      <c r="B82" s="148">
        <v>0</v>
      </c>
      <c r="C82" s="149" t="s">
        <v>54</v>
      </c>
      <c r="D82" s="150"/>
      <c r="E82" s="150"/>
      <c r="F82" s="150"/>
      <c r="G82" s="151"/>
      <c r="I82" s="152"/>
      <c r="J82" s="152"/>
      <c r="K82" s="152"/>
      <c r="L82" s="152"/>
    </row>
    <row r="83" spans="1:12" s="92" customFormat="1" ht="19.5" customHeight="1" thickBot="1" x14ac:dyDescent="0.35">
      <c r="A83" s="145" t="s">
        <v>55</v>
      </c>
      <c r="B83" s="153">
        <f>B81-B82</f>
        <v>98.45</v>
      </c>
      <c r="C83" s="154"/>
      <c r="D83" s="154"/>
      <c r="E83" s="154"/>
      <c r="F83" s="154"/>
      <c r="G83" s="155"/>
      <c r="I83" s="152"/>
      <c r="J83" s="152"/>
      <c r="K83" s="152"/>
      <c r="L83" s="152"/>
    </row>
    <row r="84" spans="1:12" s="92" customFormat="1" ht="27" customHeight="1" thickBot="1" x14ac:dyDescent="0.45">
      <c r="A84" s="145" t="s">
        <v>56</v>
      </c>
      <c r="B84" s="156">
        <v>888.88</v>
      </c>
      <c r="C84" s="157" t="s">
        <v>115</v>
      </c>
      <c r="D84" s="158"/>
      <c r="E84" s="158"/>
      <c r="F84" s="158"/>
      <c r="G84" s="158"/>
      <c r="H84" s="159"/>
      <c r="I84" s="152"/>
      <c r="J84" s="152"/>
      <c r="K84" s="152"/>
      <c r="L84" s="152"/>
    </row>
    <row r="85" spans="1:12" s="92" customFormat="1" ht="27" customHeight="1" thickBot="1" x14ac:dyDescent="0.45">
      <c r="A85" s="145" t="s">
        <v>58</v>
      </c>
      <c r="B85" s="156">
        <v>1025.8699999999999</v>
      </c>
      <c r="C85" s="157" t="s">
        <v>116</v>
      </c>
      <c r="D85" s="158"/>
      <c r="E85" s="158"/>
      <c r="F85" s="158"/>
      <c r="G85" s="158"/>
      <c r="H85" s="159"/>
      <c r="I85" s="152"/>
      <c r="J85" s="152"/>
      <c r="K85" s="152"/>
      <c r="L85" s="152"/>
    </row>
    <row r="86" spans="1:12" s="92" customFormat="1" ht="18.75" x14ac:dyDescent="0.3">
      <c r="A86" s="145"/>
      <c r="B86" s="162"/>
      <c r="C86" s="163"/>
      <c r="D86" s="163"/>
      <c r="E86" s="163"/>
      <c r="F86" s="163"/>
      <c r="G86" s="163"/>
      <c r="H86" s="163"/>
      <c r="I86" s="152"/>
      <c r="J86" s="152"/>
      <c r="K86" s="152"/>
      <c r="L86" s="152"/>
    </row>
    <row r="87" spans="1:12" s="92" customFormat="1" ht="18.75" x14ac:dyDescent="0.3">
      <c r="A87" s="145" t="s">
        <v>60</v>
      </c>
      <c r="B87" s="164">
        <f>B84/B85</f>
        <v>0.86646456178658127</v>
      </c>
      <c r="C87" s="128" t="s">
        <v>61</v>
      </c>
      <c r="D87" s="128"/>
      <c r="E87" s="128"/>
      <c r="F87" s="128"/>
      <c r="G87" s="128"/>
      <c r="I87" s="152"/>
      <c r="J87" s="152"/>
      <c r="K87" s="152"/>
      <c r="L87" s="152"/>
    </row>
    <row r="88" spans="1:12" ht="19.5" customHeight="1" thickBot="1" x14ac:dyDescent="0.35">
      <c r="A88" s="143"/>
      <c r="B88" s="143"/>
    </row>
    <row r="89" spans="1:12" ht="27" customHeight="1" thickBot="1" x14ac:dyDescent="0.45">
      <c r="A89" s="165" t="s">
        <v>62</v>
      </c>
      <c r="B89" s="166">
        <v>50</v>
      </c>
      <c r="D89" s="264" t="s">
        <v>63</v>
      </c>
      <c r="E89" s="265"/>
      <c r="F89" s="167" t="s">
        <v>64</v>
      </c>
      <c r="G89" s="169"/>
    </row>
    <row r="90" spans="1:12" ht="27" customHeight="1" thickBot="1" x14ac:dyDescent="0.45">
      <c r="A90" s="170" t="s">
        <v>65</v>
      </c>
      <c r="B90" s="171">
        <v>2</v>
      </c>
      <c r="C90" s="266" t="s">
        <v>66</v>
      </c>
      <c r="D90" s="173" t="s">
        <v>67</v>
      </c>
      <c r="E90" s="174" t="s">
        <v>68</v>
      </c>
      <c r="F90" s="173" t="s">
        <v>67</v>
      </c>
      <c r="G90" s="267" t="s">
        <v>68</v>
      </c>
      <c r="I90" s="176" t="s">
        <v>69</v>
      </c>
    </row>
    <row r="91" spans="1:12" ht="26.25" customHeight="1" x14ac:dyDescent="0.4">
      <c r="A91" s="170" t="s">
        <v>70</v>
      </c>
      <c r="B91" s="171">
        <v>50</v>
      </c>
      <c r="C91" s="268">
        <v>1</v>
      </c>
      <c r="D91" s="178">
        <v>0.46400000000000002</v>
      </c>
      <c r="E91" s="179">
        <f>IF(ISBLANK(D91),"-",$D$101/$D$98*D91)</f>
        <v>0.42513957199385993</v>
      </c>
      <c r="F91" s="178">
        <v>0.42599999999999999</v>
      </c>
      <c r="G91" s="180">
        <f>IF(ISBLANK(F91),"-",$D$101/$F$98*F91)</f>
        <v>0.44206652914015071</v>
      </c>
      <c r="I91" s="181"/>
    </row>
    <row r="92" spans="1:12" ht="26.25" customHeight="1" x14ac:dyDescent="0.4">
      <c r="A92" s="170" t="s">
        <v>71</v>
      </c>
      <c r="B92" s="171">
        <v>1</v>
      </c>
      <c r="C92" s="200">
        <v>2</v>
      </c>
      <c r="D92" s="183">
        <v>0.46600000000000003</v>
      </c>
      <c r="E92" s="184">
        <f>IF(ISBLANK(D92),"-",$D$101/$D$98*D92)</f>
        <v>0.42697207014900584</v>
      </c>
      <c r="F92" s="183">
        <v>0.42399999999999999</v>
      </c>
      <c r="G92" s="185">
        <f>IF(ISBLANK(F92),"-",$D$101/$F$98*F92)</f>
        <v>0.43999109942587772</v>
      </c>
      <c r="I92" s="186">
        <f>ABS((F96/D96*D95)-F95)/D95</f>
        <v>2.9658659761066634E-2</v>
      </c>
    </row>
    <row r="93" spans="1:12" ht="26.25" customHeight="1" x14ac:dyDescent="0.4">
      <c r="A93" s="170" t="s">
        <v>72</v>
      </c>
      <c r="B93" s="171">
        <v>1</v>
      </c>
      <c r="C93" s="200">
        <v>3</v>
      </c>
      <c r="D93" s="183">
        <v>0.46600000000000003</v>
      </c>
      <c r="E93" s="184">
        <f>IF(ISBLANK(D93),"-",$D$101/$D$98*D93)</f>
        <v>0.42697207014900584</v>
      </c>
      <c r="F93" s="183">
        <v>0.42399999999999999</v>
      </c>
      <c r="G93" s="185">
        <f>IF(ISBLANK(F93),"-",$D$101/$F$98*F93)</f>
        <v>0.43999109942587772</v>
      </c>
      <c r="I93" s="186"/>
    </row>
    <row r="94" spans="1:12" ht="27" customHeight="1" thickBot="1" x14ac:dyDescent="0.45">
      <c r="A94" s="170" t="s">
        <v>73</v>
      </c>
      <c r="B94" s="171">
        <v>1</v>
      </c>
      <c r="C94" s="269">
        <v>4</v>
      </c>
      <c r="D94" s="188"/>
      <c r="E94" s="189" t="str">
        <f>IF(ISBLANK(D94),"-",$D$101/$D$98*D94)</f>
        <v>-</v>
      </c>
      <c r="F94" s="270"/>
      <c r="G94" s="190" t="str">
        <f>IF(ISBLANK(F94),"-",$D$101/$F$98*F94)</f>
        <v>-</v>
      </c>
      <c r="I94" s="191"/>
    </row>
    <row r="95" spans="1:12" ht="27" customHeight="1" thickBot="1" x14ac:dyDescent="0.45">
      <c r="A95" s="170" t="s">
        <v>74</v>
      </c>
      <c r="B95" s="171">
        <v>1</v>
      </c>
      <c r="C95" s="145" t="s">
        <v>75</v>
      </c>
      <c r="D95" s="271">
        <f>AVERAGE(D91:D94)</f>
        <v>0.46533333333333338</v>
      </c>
      <c r="E95" s="194">
        <f>AVERAGE(E91:E94)</f>
        <v>0.42636123743062387</v>
      </c>
      <c r="F95" s="272">
        <f>AVERAGE(F91:F94)</f>
        <v>0.42466666666666669</v>
      </c>
      <c r="G95" s="273">
        <f>AVERAGE(G91:G94)</f>
        <v>0.44068290933063542</v>
      </c>
    </row>
    <row r="96" spans="1:12" ht="26.25" customHeight="1" x14ac:dyDescent="0.4">
      <c r="A96" s="170" t="s">
        <v>76</v>
      </c>
      <c r="B96" s="147">
        <v>1</v>
      </c>
      <c r="C96" s="274" t="s">
        <v>117</v>
      </c>
      <c r="D96" s="275">
        <v>17.77</v>
      </c>
      <c r="E96" s="128"/>
      <c r="F96" s="197">
        <v>15.69</v>
      </c>
    </row>
    <row r="97" spans="1:10" ht="26.25" customHeight="1" x14ac:dyDescent="0.4">
      <c r="A97" s="170" t="s">
        <v>78</v>
      </c>
      <c r="B97" s="147">
        <v>1</v>
      </c>
      <c r="C97" s="276" t="s">
        <v>118</v>
      </c>
      <c r="D97" s="277">
        <f>D96*$B$87</f>
        <v>15.397075262947549</v>
      </c>
      <c r="E97" s="200"/>
      <c r="F97" s="199">
        <f>F96*$B$87</f>
        <v>13.59482897443146</v>
      </c>
    </row>
    <row r="98" spans="1:10" ht="19.5" customHeight="1" thickBot="1" x14ac:dyDescent="0.35">
      <c r="A98" s="170" t="s">
        <v>80</v>
      </c>
      <c r="B98" s="200">
        <f>(B97/B96)*(B95/B94)*(B93/B92)*(B91/B90)*B89</f>
        <v>1250</v>
      </c>
      <c r="C98" s="276" t="s">
        <v>119</v>
      </c>
      <c r="D98" s="278">
        <f>D97*$B$83/100</f>
        <v>15.158420596371863</v>
      </c>
      <c r="E98" s="202"/>
      <c r="F98" s="201">
        <f>F97*$B$83/100</f>
        <v>13.384109125327774</v>
      </c>
    </row>
    <row r="99" spans="1:10" ht="19.5" customHeight="1" thickBot="1" x14ac:dyDescent="0.35">
      <c r="A99" s="203" t="s">
        <v>82</v>
      </c>
      <c r="B99" s="279"/>
      <c r="C99" s="276" t="s">
        <v>120</v>
      </c>
      <c r="D99" s="280">
        <f>D98/$B$98</f>
        <v>1.2126736477097491E-2</v>
      </c>
      <c r="E99" s="202"/>
      <c r="F99" s="207">
        <f>F98/$B$98</f>
        <v>1.0707287300262219E-2</v>
      </c>
      <c r="H99" s="116"/>
    </row>
    <row r="100" spans="1:10" ht="19.5" customHeight="1" thickBot="1" x14ac:dyDescent="0.35">
      <c r="A100" s="208"/>
      <c r="B100" s="281"/>
      <c r="C100" s="276" t="s">
        <v>84</v>
      </c>
      <c r="D100" s="282">
        <f>$B$56/$B$116</f>
        <v>1.1111111111111112E-2</v>
      </c>
      <c r="F100" s="214"/>
      <c r="G100" s="283"/>
      <c r="H100" s="116"/>
    </row>
    <row r="101" spans="1:10" ht="18.75" x14ac:dyDescent="0.3">
      <c r="C101" s="276" t="s">
        <v>85</v>
      </c>
      <c r="D101" s="277">
        <f>D100*$B$98</f>
        <v>13.888888888888889</v>
      </c>
      <c r="F101" s="214"/>
      <c r="H101" s="116"/>
    </row>
    <row r="102" spans="1:10" ht="19.5" customHeight="1" thickBot="1" x14ac:dyDescent="0.35">
      <c r="C102" s="284" t="s">
        <v>86</v>
      </c>
      <c r="D102" s="285">
        <f>D101/B34</f>
        <v>16.029379043790435</v>
      </c>
      <c r="F102" s="218"/>
      <c r="H102" s="116"/>
      <c r="J102" s="286"/>
    </row>
    <row r="103" spans="1:10" ht="18.75" x14ac:dyDescent="0.3">
      <c r="C103" s="287" t="s">
        <v>121</v>
      </c>
      <c r="D103" s="288">
        <f>AVERAGE(E91:E94,G91:G94)</f>
        <v>0.43352207338062959</v>
      </c>
      <c r="F103" s="218"/>
      <c r="G103" s="283"/>
      <c r="H103" s="116"/>
      <c r="J103" s="289"/>
    </row>
    <row r="104" spans="1:10" ht="18.75" x14ac:dyDescent="0.3">
      <c r="C104" s="257" t="s">
        <v>88</v>
      </c>
      <c r="D104" s="290">
        <f>STDEV(E91:E94,G91:G94)/D103</f>
        <v>1.8244010308227889E-2</v>
      </c>
      <c r="F104" s="218"/>
      <c r="H104" s="116"/>
      <c r="J104" s="289"/>
    </row>
    <row r="105" spans="1:10" ht="19.5" customHeight="1" thickBot="1" x14ac:dyDescent="0.35">
      <c r="C105" s="259" t="s">
        <v>20</v>
      </c>
      <c r="D105" s="291">
        <f>COUNT(E91:E94,G91:G94)</f>
        <v>6</v>
      </c>
      <c r="F105" s="218"/>
      <c r="H105" s="116"/>
      <c r="J105" s="289"/>
    </row>
    <row r="106" spans="1:10" ht="19.5" customHeight="1" thickBot="1" x14ac:dyDescent="0.35">
      <c r="A106" s="222"/>
      <c r="B106" s="222"/>
      <c r="C106" s="222"/>
      <c r="D106" s="222"/>
      <c r="E106" s="222"/>
    </row>
    <row r="107" spans="1:10" ht="27" customHeight="1" thickBot="1" x14ac:dyDescent="0.45">
      <c r="A107" s="165" t="s">
        <v>122</v>
      </c>
      <c r="B107" s="166">
        <v>900</v>
      </c>
      <c r="C107" s="228" t="s">
        <v>123</v>
      </c>
      <c r="D107" s="228" t="s">
        <v>67</v>
      </c>
      <c r="E107" s="228" t="s">
        <v>124</v>
      </c>
      <c r="F107" s="292" t="s">
        <v>125</v>
      </c>
    </row>
    <row r="108" spans="1:10" ht="26.25" customHeight="1" x14ac:dyDescent="0.4">
      <c r="A108" s="170" t="s">
        <v>126</v>
      </c>
      <c r="B108" s="171">
        <v>5</v>
      </c>
      <c r="C108" s="231">
        <v>1</v>
      </c>
      <c r="D108" s="293">
        <v>0.39300000000000002</v>
      </c>
      <c r="E108" s="294">
        <f t="shared" ref="E108:E113" si="1">IF(ISBLANK(D108),"-",D108/$D$103*$D$100*$B$116)</f>
        <v>90.652823496474781</v>
      </c>
      <c r="F108" s="295">
        <f t="shared" ref="F108:F113" si="2">IF(ISBLANK(D108), "-", (E108/$B$56)*100)</f>
        <v>90.652823496474781</v>
      </c>
    </row>
    <row r="109" spans="1:10" ht="26.25" customHeight="1" x14ac:dyDescent="0.4">
      <c r="A109" s="170" t="s">
        <v>99</v>
      </c>
      <c r="B109" s="171">
        <v>50</v>
      </c>
      <c r="C109" s="237">
        <v>2</v>
      </c>
      <c r="D109" s="296">
        <v>0.39900000000000002</v>
      </c>
      <c r="E109" s="297">
        <f t="shared" si="1"/>
        <v>92.036836068940048</v>
      </c>
      <c r="F109" s="298">
        <f t="shared" si="2"/>
        <v>92.036836068940048</v>
      </c>
    </row>
    <row r="110" spans="1:10" ht="26.25" customHeight="1" x14ac:dyDescent="0.4">
      <c r="A110" s="170" t="s">
        <v>100</v>
      </c>
      <c r="B110" s="171">
        <v>1</v>
      </c>
      <c r="C110" s="237">
        <v>3</v>
      </c>
      <c r="D110" s="296">
        <v>0.39200000000000002</v>
      </c>
      <c r="E110" s="297">
        <f t="shared" si="1"/>
        <v>90.422154734397239</v>
      </c>
      <c r="F110" s="298">
        <f t="shared" si="2"/>
        <v>90.422154734397239</v>
      </c>
    </row>
    <row r="111" spans="1:10" ht="26.25" customHeight="1" x14ac:dyDescent="0.4">
      <c r="A111" s="170" t="s">
        <v>101</v>
      </c>
      <c r="B111" s="171">
        <v>1</v>
      </c>
      <c r="C111" s="237">
        <v>4</v>
      </c>
      <c r="D111" s="296">
        <v>0.39600000000000002</v>
      </c>
      <c r="E111" s="297">
        <f t="shared" si="1"/>
        <v>91.344829782707421</v>
      </c>
      <c r="F111" s="298">
        <f t="shared" si="2"/>
        <v>91.344829782707421</v>
      </c>
    </row>
    <row r="112" spans="1:10" ht="26.25" customHeight="1" x14ac:dyDescent="0.4">
      <c r="A112" s="170" t="s">
        <v>102</v>
      </c>
      <c r="B112" s="171">
        <v>1</v>
      </c>
      <c r="C112" s="237">
        <v>5</v>
      </c>
      <c r="D112" s="296">
        <v>0.39800000000000002</v>
      </c>
      <c r="E112" s="297">
        <f t="shared" si="1"/>
        <v>91.806167306862505</v>
      </c>
      <c r="F112" s="298">
        <f t="shared" si="2"/>
        <v>91.806167306862505</v>
      </c>
    </row>
    <row r="113" spans="1:10" ht="27" customHeight="1" thickBot="1" x14ac:dyDescent="0.45">
      <c r="A113" s="170" t="s">
        <v>104</v>
      </c>
      <c r="B113" s="171">
        <v>1</v>
      </c>
      <c r="C113" s="243">
        <v>6</v>
      </c>
      <c r="D113" s="299">
        <v>0.39700000000000002</v>
      </c>
      <c r="E113" s="300">
        <f t="shared" si="1"/>
        <v>91.575498544784978</v>
      </c>
      <c r="F113" s="301">
        <f t="shared" si="2"/>
        <v>91.575498544784978</v>
      </c>
    </row>
    <row r="114" spans="1:10" ht="27" customHeight="1" thickBot="1" x14ac:dyDescent="0.45">
      <c r="A114" s="170" t="s">
        <v>105</v>
      </c>
      <c r="B114" s="171">
        <v>1</v>
      </c>
      <c r="C114" s="302"/>
      <c r="D114" s="200"/>
      <c r="E114" s="128"/>
      <c r="F114" s="298"/>
    </row>
    <row r="115" spans="1:10" ht="26.25" customHeight="1" x14ac:dyDescent="0.4">
      <c r="A115" s="170" t="s">
        <v>106</v>
      </c>
      <c r="B115" s="171">
        <v>1</v>
      </c>
      <c r="C115" s="302"/>
      <c r="D115" s="303" t="s">
        <v>75</v>
      </c>
      <c r="E115" s="304">
        <f>AVERAGE(E108:E113)</f>
        <v>91.306384989027833</v>
      </c>
      <c r="F115" s="305">
        <f>AVERAGE(F108:F113)</f>
        <v>91.306384989027833</v>
      </c>
    </row>
    <row r="116" spans="1:10" ht="27" customHeight="1" thickBot="1" x14ac:dyDescent="0.45">
      <c r="A116" s="170" t="s">
        <v>107</v>
      </c>
      <c r="B116" s="182">
        <f>(B115/B114)*(B113/B112)*(B111/B110)*(B109/B108)*B107</f>
        <v>9000</v>
      </c>
      <c r="C116" s="306"/>
      <c r="D116" s="307" t="s">
        <v>88</v>
      </c>
      <c r="E116" s="258">
        <f>STDEV(E108:E113)/E115</f>
        <v>7.0405237780475152E-3</v>
      </c>
      <c r="F116" s="308">
        <f>STDEV(F108:F113)/F115</f>
        <v>7.0405237780475152E-3</v>
      </c>
      <c r="I116" s="128"/>
    </row>
    <row r="117" spans="1:10" ht="27" customHeight="1" thickBot="1" x14ac:dyDescent="0.45">
      <c r="A117" s="203" t="s">
        <v>82</v>
      </c>
      <c r="B117" s="204"/>
      <c r="C117" s="309"/>
      <c r="D117" s="259" t="s">
        <v>20</v>
      </c>
      <c r="E117" s="310">
        <f>COUNT(E108:E113)</f>
        <v>6</v>
      </c>
      <c r="F117" s="311">
        <f>COUNT(F108:F113)</f>
        <v>6</v>
      </c>
      <c r="I117" s="128"/>
      <c r="J117" s="289"/>
    </row>
    <row r="118" spans="1:10" ht="26.25" customHeight="1" thickBot="1" x14ac:dyDescent="0.35">
      <c r="A118" s="208"/>
      <c r="B118" s="209"/>
      <c r="C118" s="128"/>
      <c r="D118" s="312"/>
      <c r="E118" s="313" t="s">
        <v>127</v>
      </c>
      <c r="F118" s="314"/>
      <c r="G118" s="128"/>
      <c r="H118" s="128"/>
      <c r="I118" s="128"/>
    </row>
    <row r="119" spans="1:10" ht="25.5" customHeight="1" x14ac:dyDescent="0.4">
      <c r="A119" s="315"/>
      <c r="B119" s="163"/>
      <c r="C119" s="128"/>
      <c r="D119" s="307" t="s">
        <v>128</v>
      </c>
      <c r="E119" s="316">
        <f>MIN(E108:E113)</f>
        <v>90.422154734397239</v>
      </c>
      <c r="F119" s="317">
        <f>MIN(F108:F113)</f>
        <v>90.422154734397239</v>
      </c>
      <c r="G119" s="128"/>
      <c r="H119" s="128"/>
      <c r="I119" s="128"/>
    </row>
    <row r="120" spans="1:10" ht="24" customHeight="1" thickBot="1" x14ac:dyDescent="0.45">
      <c r="A120" s="315"/>
      <c r="B120" s="163"/>
      <c r="C120" s="128"/>
      <c r="D120" s="215" t="s">
        <v>129</v>
      </c>
      <c r="E120" s="318">
        <f>MAX(E108:E113)</f>
        <v>92.036836068940048</v>
      </c>
      <c r="F120" s="319">
        <f>MAX(F108:F113)</f>
        <v>92.036836068940048</v>
      </c>
      <c r="G120" s="128"/>
      <c r="H120" s="128"/>
      <c r="I120" s="128"/>
    </row>
    <row r="121" spans="1:10" ht="27" customHeight="1" x14ac:dyDescent="0.3">
      <c r="A121" s="315"/>
      <c r="B121" s="163"/>
      <c r="C121" s="128"/>
      <c r="D121" s="128"/>
      <c r="E121" s="128"/>
      <c r="F121" s="200"/>
      <c r="G121" s="128"/>
      <c r="H121" s="128"/>
      <c r="I121" s="128"/>
    </row>
    <row r="122" spans="1:10" ht="25.5" customHeight="1" x14ac:dyDescent="0.3">
      <c r="A122" s="315"/>
      <c r="B122" s="163"/>
      <c r="C122" s="128"/>
      <c r="D122" s="128"/>
      <c r="E122" s="128"/>
      <c r="F122" s="200"/>
      <c r="G122" s="128"/>
      <c r="H122" s="128"/>
      <c r="I122" s="128"/>
    </row>
    <row r="123" spans="1:10" ht="18.75" x14ac:dyDescent="0.3">
      <c r="A123" s="315"/>
      <c r="B123" s="163"/>
      <c r="C123" s="128"/>
      <c r="D123" s="128"/>
      <c r="E123" s="128"/>
      <c r="F123" s="200"/>
      <c r="G123" s="128"/>
      <c r="H123" s="128"/>
      <c r="I123" s="128"/>
    </row>
    <row r="124" spans="1:10" ht="45.75" customHeight="1" x14ac:dyDescent="0.65">
      <c r="A124" s="144" t="s">
        <v>110</v>
      </c>
      <c r="B124" s="145" t="s">
        <v>130</v>
      </c>
      <c r="C124" s="261" t="str">
        <f>B26</f>
        <v>DOXYCYCLINE HYCLATE</v>
      </c>
      <c r="D124" s="261"/>
      <c r="E124" s="128" t="s">
        <v>131</v>
      </c>
      <c r="F124" s="128"/>
      <c r="G124" s="320">
        <f>F115</f>
        <v>91.306384989027833</v>
      </c>
      <c r="H124" s="128"/>
      <c r="I124" s="128"/>
    </row>
    <row r="125" spans="1:10" ht="45.75" customHeight="1" x14ac:dyDescent="0.65">
      <c r="A125" s="144"/>
      <c r="B125" s="145" t="s">
        <v>132</v>
      </c>
      <c r="C125" s="145" t="s">
        <v>133</v>
      </c>
      <c r="D125" s="320">
        <f>MIN(F108:F113)</f>
        <v>90.422154734397239</v>
      </c>
      <c r="E125" s="145" t="s">
        <v>134</v>
      </c>
      <c r="F125" s="320">
        <f>MAX(F108:F113)</f>
        <v>92.036836068940048</v>
      </c>
      <c r="G125" s="321"/>
      <c r="H125" s="128"/>
      <c r="I125" s="128"/>
    </row>
    <row r="126" spans="1:10" ht="19.5" customHeight="1" thickBot="1" x14ac:dyDescent="0.35">
      <c r="A126" s="322"/>
      <c r="B126" s="322"/>
      <c r="C126" s="323"/>
      <c r="D126" s="323"/>
      <c r="E126" s="323"/>
      <c r="F126" s="323"/>
      <c r="G126" s="323"/>
      <c r="H126" s="323"/>
    </row>
    <row r="127" spans="1:10" ht="18.75" x14ac:dyDescent="0.3">
      <c r="B127" s="324" t="s">
        <v>26</v>
      </c>
      <c r="C127" s="324"/>
      <c r="E127" s="266" t="s">
        <v>27</v>
      </c>
      <c r="F127" s="325"/>
      <c r="G127" s="324" t="s">
        <v>28</v>
      </c>
      <c r="H127" s="324"/>
    </row>
    <row r="128" spans="1:10" ht="69.95" customHeight="1" x14ac:dyDescent="0.3">
      <c r="A128" s="144" t="s">
        <v>29</v>
      </c>
      <c r="B128" s="326"/>
      <c r="C128" s="326"/>
      <c r="E128" s="326"/>
      <c r="F128" s="128"/>
      <c r="G128" s="326"/>
      <c r="H128" s="326"/>
    </row>
    <row r="129" spans="1:9" ht="69.95" customHeight="1" x14ac:dyDescent="0.3">
      <c r="A129" s="144" t="s">
        <v>30</v>
      </c>
      <c r="B129" s="327"/>
      <c r="C129" s="327"/>
      <c r="E129" s="327"/>
      <c r="F129" s="128"/>
      <c r="G129" s="328"/>
      <c r="H129" s="328"/>
    </row>
    <row r="130" spans="1:9" ht="18.75" x14ac:dyDescent="0.3">
      <c r="A130" s="200"/>
      <c r="B130" s="200"/>
      <c r="C130" s="200"/>
      <c r="D130" s="200"/>
      <c r="E130" s="200"/>
      <c r="F130" s="202"/>
      <c r="G130" s="200"/>
      <c r="H130" s="200"/>
      <c r="I130" s="128"/>
    </row>
    <row r="131" spans="1:9" ht="18.75" x14ac:dyDescent="0.3">
      <c r="A131" s="200"/>
      <c r="B131" s="200"/>
      <c r="C131" s="200"/>
      <c r="D131" s="200"/>
      <c r="E131" s="200"/>
      <c r="F131" s="202"/>
      <c r="G131" s="200"/>
      <c r="H131" s="200"/>
      <c r="I131" s="128"/>
    </row>
    <row r="132" spans="1:9" ht="18.75" x14ac:dyDescent="0.3">
      <c r="A132" s="200"/>
      <c r="B132" s="200"/>
      <c r="C132" s="200"/>
      <c r="D132" s="200"/>
      <c r="E132" s="200"/>
      <c r="F132" s="202"/>
      <c r="G132" s="200"/>
      <c r="H132" s="200"/>
      <c r="I132" s="128"/>
    </row>
    <row r="133" spans="1:9" ht="18.75" x14ac:dyDescent="0.3">
      <c r="A133" s="200"/>
      <c r="B133" s="200"/>
      <c r="C133" s="200"/>
      <c r="D133" s="200"/>
      <c r="E133" s="200"/>
      <c r="F133" s="202"/>
      <c r="G133" s="200"/>
      <c r="H133" s="200"/>
      <c r="I133" s="128"/>
    </row>
    <row r="134" spans="1:9" ht="18.75" x14ac:dyDescent="0.3">
      <c r="A134" s="200"/>
      <c r="B134" s="200"/>
      <c r="C134" s="200"/>
      <c r="D134" s="200"/>
      <c r="E134" s="200"/>
      <c r="F134" s="202"/>
      <c r="G134" s="200"/>
      <c r="H134" s="200"/>
      <c r="I134" s="128"/>
    </row>
    <row r="135" spans="1:9" ht="18.75" x14ac:dyDescent="0.3">
      <c r="A135" s="200"/>
      <c r="B135" s="200"/>
      <c r="C135" s="200"/>
      <c r="D135" s="200"/>
      <c r="E135" s="200"/>
      <c r="F135" s="202"/>
      <c r="G135" s="200"/>
      <c r="H135" s="200"/>
      <c r="I135" s="128"/>
    </row>
    <row r="136" spans="1:9" ht="18.75" x14ac:dyDescent="0.3">
      <c r="A136" s="200"/>
      <c r="B136" s="200"/>
      <c r="C136" s="200"/>
      <c r="D136" s="200"/>
      <c r="E136" s="200"/>
      <c r="F136" s="202"/>
      <c r="G136" s="200"/>
      <c r="H136" s="200"/>
      <c r="I136" s="128"/>
    </row>
    <row r="137" spans="1:9" ht="18.75" x14ac:dyDescent="0.3">
      <c r="A137" s="200"/>
      <c r="B137" s="200"/>
      <c r="C137" s="200"/>
      <c r="D137" s="200"/>
      <c r="E137" s="200"/>
      <c r="F137" s="202"/>
      <c r="G137" s="200"/>
      <c r="H137" s="200"/>
      <c r="I137" s="128"/>
    </row>
    <row r="138" spans="1:9" ht="18.75" x14ac:dyDescent="0.3">
      <c r="A138" s="200"/>
      <c r="B138" s="200"/>
      <c r="C138" s="200"/>
      <c r="D138" s="200"/>
      <c r="E138" s="200"/>
      <c r="F138" s="202"/>
      <c r="G138" s="200"/>
      <c r="H138" s="200"/>
      <c r="I138" s="128"/>
    </row>
    <row r="250" spans="1:1" x14ac:dyDescent="0.25">
      <c r="A250" s="8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0" workbookViewId="0">
      <selection activeCell="D45" sqref="D45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75" t="s">
        <v>31</v>
      </c>
      <c r="B8" s="75"/>
      <c r="C8" s="75"/>
      <c r="D8" s="75"/>
      <c r="E8" s="75"/>
      <c r="F8" s="75"/>
      <c r="G8" s="75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76" t="s">
        <v>32</v>
      </c>
      <c r="B10" s="76"/>
      <c r="C10" s="76"/>
      <c r="D10" s="76"/>
      <c r="E10" s="76"/>
      <c r="F10" s="76"/>
      <c r="G10" s="76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73" t="s">
        <v>33</v>
      </c>
      <c r="B11" s="73"/>
      <c r="C11" s="26" t="s">
        <v>5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73" t="s">
        <v>34</v>
      </c>
      <c r="B12" s="73"/>
      <c r="C12" s="26" t="s">
        <v>7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73" t="s">
        <v>35</v>
      </c>
      <c r="B13" s="73"/>
      <c r="C13" s="26" t="s">
        <v>9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73" t="s">
        <v>36</v>
      </c>
      <c r="B14" s="73"/>
      <c r="C14" s="74" t="s">
        <v>11</v>
      </c>
      <c r="D14" s="74"/>
      <c r="E14" s="74"/>
      <c r="F14" s="74"/>
      <c r="G14" s="74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73" t="s">
        <v>37</v>
      </c>
      <c r="B15" s="73"/>
      <c r="C15" s="27" t="s">
        <v>12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73" t="s">
        <v>38</v>
      </c>
      <c r="B16" s="73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77" t="s">
        <v>1</v>
      </c>
      <c r="B18" s="77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310.05</v>
      </c>
      <c r="C21" s="36">
        <v>61.16</v>
      </c>
      <c r="D21" s="37">
        <f t="shared" ref="D21:D40" si="0">B21-C21</f>
        <v>248.89000000000001</v>
      </c>
      <c r="E21" s="38">
        <f t="shared" ref="E21:E40" si="1">(D21-$D$43)/$D$43</f>
        <v>-5.8620174478087934E-2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325.2</v>
      </c>
      <c r="C22" s="41">
        <v>61.66</v>
      </c>
      <c r="D22" s="42">
        <f t="shared" si="0"/>
        <v>263.53999999999996</v>
      </c>
      <c r="E22" s="38">
        <f t="shared" si="1"/>
        <v>-3.2092923860152825E-3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326.64</v>
      </c>
      <c r="C23" s="41">
        <v>63.15</v>
      </c>
      <c r="D23" s="42">
        <f t="shared" si="0"/>
        <v>263.49</v>
      </c>
      <c r="E23" s="38">
        <f t="shared" si="1"/>
        <v>-3.3984080245546082E-3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327.35000000000002</v>
      </c>
      <c r="C24" s="41">
        <v>59.52</v>
      </c>
      <c r="D24" s="42">
        <f t="shared" si="0"/>
        <v>267.83000000000004</v>
      </c>
      <c r="E24" s="38">
        <f t="shared" si="1"/>
        <v>1.3016829400673918E-2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324.41000000000003</v>
      </c>
      <c r="C25" s="41">
        <v>61.85</v>
      </c>
      <c r="D25" s="42">
        <f t="shared" si="0"/>
        <v>262.56</v>
      </c>
      <c r="E25" s="38">
        <f t="shared" si="1"/>
        <v>-6.9159589013892929E-3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339.19</v>
      </c>
      <c r="C26" s="41">
        <v>62.96</v>
      </c>
      <c r="D26" s="42">
        <f t="shared" si="0"/>
        <v>276.23</v>
      </c>
      <c r="E26" s="38">
        <f t="shared" si="1"/>
        <v>4.478825667530946E-2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325.47000000000003</v>
      </c>
      <c r="C27" s="41">
        <v>61.86</v>
      </c>
      <c r="D27" s="42">
        <f t="shared" si="0"/>
        <v>263.61</v>
      </c>
      <c r="E27" s="38">
        <f t="shared" si="1"/>
        <v>-2.9445304920597964E-3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337.88</v>
      </c>
      <c r="C28" s="41">
        <v>62.49</v>
      </c>
      <c r="D28" s="42">
        <f t="shared" si="0"/>
        <v>275.39</v>
      </c>
      <c r="E28" s="38">
        <f t="shared" si="1"/>
        <v>4.1611113947845772E-2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315.75</v>
      </c>
      <c r="C29" s="41">
        <v>63.93</v>
      </c>
      <c r="D29" s="42">
        <f t="shared" si="0"/>
        <v>251.82</v>
      </c>
      <c r="E29" s="38">
        <f t="shared" si="1"/>
        <v>-4.7537998059673452E-2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337.42</v>
      </c>
      <c r="C30" s="41">
        <v>64.28</v>
      </c>
      <c r="D30" s="42">
        <f t="shared" si="0"/>
        <v>273.14</v>
      </c>
      <c r="E30" s="38">
        <f t="shared" si="1"/>
        <v>3.3100910213568376E-2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312.02999999999997</v>
      </c>
      <c r="C31" s="41">
        <v>63.35</v>
      </c>
      <c r="D31" s="42">
        <f t="shared" si="0"/>
        <v>248.67999999999998</v>
      </c>
      <c r="E31" s="38">
        <f t="shared" si="1"/>
        <v>-5.9414460159953962E-2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323.33999999999997</v>
      </c>
      <c r="C32" s="41">
        <v>63.23</v>
      </c>
      <c r="D32" s="42">
        <f t="shared" si="0"/>
        <v>260.10999999999996</v>
      </c>
      <c r="E32" s="38">
        <f t="shared" si="1"/>
        <v>-1.6182625189824856E-2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330.89</v>
      </c>
      <c r="C33" s="41">
        <v>63.54</v>
      </c>
      <c r="D33" s="42">
        <f t="shared" si="0"/>
        <v>267.34999999999997</v>
      </c>
      <c r="E33" s="38">
        <f t="shared" si="1"/>
        <v>1.1201319270694456E-2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322.89999999999998</v>
      </c>
      <c r="C34" s="41">
        <v>64.61</v>
      </c>
      <c r="D34" s="42">
        <f t="shared" si="0"/>
        <v>258.28999999999996</v>
      </c>
      <c r="E34" s="38">
        <f t="shared" si="1"/>
        <v>-2.3066434432662548E-2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322.8</v>
      </c>
      <c r="C35" s="41">
        <v>59.05</v>
      </c>
      <c r="D35" s="42">
        <f t="shared" si="0"/>
        <v>263.75</v>
      </c>
      <c r="E35" s="38">
        <f t="shared" si="1"/>
        <v>-2.415006704149254E-3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325.35000000000002</v>
      </c>
      <c r="C36" s="41">
        <v>64.53</v>
      </c>
      <c r="D36" s="42">
        <f t="shared" si="0"/>
        <v>260.82000000000005</v>
      </c>
      <c r="E36" s="38">
        <f t="shared" si="1"/>
        <v>-1.3497183122563634E-2</v>
      </c>
      <c r="G36" s="19"/>
      <c r="H36" s="19"/>
    </row>
    <row r="37" spans="1:15" ht="15" x14ac:dyDescent="0.3">
      <c r="A37" s="39">
        <v>17</v>
      </c>
      <c r="B37" s="43">
        <v>329.53</v>
      </c>
      <c r="C37" s="41">
        <v>63.41</v>
      </c>
      <c r="D37" s="42">
        <f t="shared" si="0"/>
        <v>266.12</v>
      </c>
      <c r="E37" s="38">
        <f t="shared" si="1"/>
        <v>6.5490745626229571E-3</v>
      </c>
    </row>
    <row r="38" spans="1:15" ht="15" x14ac:dyDescent="0.3">
      <c r="A38" s="39">
        <v>18</v>
      </c>
      <c r="B38" s="43">
        <v>334.95</v>
      </c>
      <c r="C38" s="41">
        <v>63.74</v>
      </c>
      <c r="D38" s="42">
        <f t="shared" si="0"/>
        <v>271.20999999999998</v>
      </c>
      <c r="E38" s="38">
        <f t="shared" si="1"/>
        <v>2.5801046565943737E-2</v>
      </c>
    </row>
    <row r="39" spans="1:15" ht="15" x14ac:dyDescent="0.3">
      <c r="A39" s="39">
        <v>19</v>
      </c>
      <c r="B39" s="43">
        <v>330</v>
      </c>
      <c r="C39" s="41">
        <v>62.96</v>
      </c>
      <c r="D39" s="42">
        <f t="shared" si="0"/>
        <v>267.04000000000002</v>
      </c>
      <c r="E39" s="38">
        <f t="shared" si="1"/>
        <v>1.0028802311749777E-2</v>
      </c>
    </row>
    <row r="40" spans="1:15" ht="14.25" customHeight="1" x14ac:dyDescent="0.3">
      <c r="A40" s="44">
        <v>20</v>
      </c>
      <c r="B40" s="45">
        <v>336.54</v>
      </c>
      <c r="C40" s="46">
        <v>58.64</v>
      </c>
      <c r="D40" s="47">
        <f t="shared" si="0"/>
        <v>277.90000000000003</v>
      </c>
      <c r="E40" s="48">
        <f t="shared" si="1"/>
        <v>5.1104719002528741E-2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6537.6900000000005</v>
      </c>
      <c r="C42" s="51">
        <f>SUM(C21:C40)</f>
        <v>1249.92</v>
      </c>
      <c r="D42" s="52">
        <f>SUM(D21:D40)</f>
        <v>5287.7699999999995</v>
      </c>
    </row>
    <row r="43" spans="1:15" ht="15.75" customHeight="1" x14ac:dyDescent="0.3">
      <c r="A43" s="53" t="s">
        <v>47</v>
      </c>
      <c r="B43" s="54">
        <f>AVERAGE(B21:B40)</f>
        <v>326.8845</v>
      </c>
      <c r="C43" s="55">
        <f>AVERAGE(C21:C40)</f>
        <v>62.496000000000002</v>
      </c>
      <c r="D43" s="56">
        <f>AVERAGE(D21:D40)</f>
        <v>264.38849999999996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78">
        <f>D43</f>
        <v>264.38849999999996</v>
      </c>
      <c r="C47" s="60">
        <f>-(IF(D43&gt;300, 7.5%, 10%))</f>
        <v>-0.1</v>
      </c>
      <c r="D47" s="61">
        <f>IF(D43&lt;300, D43*0.9, D43*0.925)</f>
        <v>237.94964999999996</v>
      </c>
    </row>
    <row r="48" spans="1:15" ht="15.75" customHeight="1" x14ac:dyDescent="0.3">
      <c r="B48" s="79"/>
      <c r="C48" s="62">
        <f>+(IF(D43&gt;300, 7.5%, 10%))</f>
        <v>0.1</v>
      </c>
      <c r="D48" s="61">
        <f>IF(D43&lt;300, D43*1.1, D43*1.075)</f>
        <v>290.82734999999997</v>
      </c>
    </row>
    <row r="49" spans="1:7" ht="14.25" customHeight="1" x14ac:dyDescent="0.3">
      <c r="A49" s="63"/>
      <c r="D49" s="64"/>
    </row>
    <row r="50" spans="1:7" ht="15" customHeight="1" x14ac:dyDescent="0.3">
      <c r="B50" s="72" t="s">
        <v>26</v>
      </c>
      <c r="C50" s="72"/>
      <c r="D50" s="26"/>
      <c r="E50" s="65" t="s">
        <v>27</v>
      </c>
      <c r="F50" s="66"/>
      <c r="G50" s="65" t="s">
        <v>28</v>
      </c>
    </row>
    <row r="51" spans="1:7" ht="15" customHeight="1" x14ac:dyDescent="0.3">
      <c r="A51" s="67" t="s">
        <v>29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30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Doxycycline Hyclate</vt:lpstr>
      <vt:lpstr>Uniformity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2017-08-31T06:28:21Z</cp:lastPrinted>
  <dcterms:created xsi:type="dcterms:W3CDTF">2005-07-05T10:19:27Z</dcterms:created>
  <dcterms:modified xsi:type="dcterms:W3CDTF">2017-08-31T06:34:07Z</dcterms:modified>
</cp:coreProperties>
</file>