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Doxycycline" sheetId="3" r:id="rId3"/>
  </sheets>
  <definedNames>
    <definedName name="_xlnm.Print_Area" localSheetId="2">Doxycycline!$A$1:$I$129</definedName>
    <definedName name="_xlnm.Print_Area" localSheetId="0">SST!$A$15:$G$61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B57" i="3" l="1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I39" i="3" s="1"/>
  <c r="B34" i="3"/>
  <c r="F44" i="3" s="1"/>
  <c r="B30" i="3"/>
  <c r="C43" i="2"/>
  <c r="B43" i="2"/>
  <c r="C42" i="2"/>
  <c r="B42" i="2"/>
  <c r="D40" i="2"/>
  <c r="E40" i="2" s="1"/>
  <c r="D39" i="2"/>
  <c r="E39" i="2" s="1"/>
  <c r="D38" i="2"/>
  <c r="D37" i="2"/>
  <c r="D36" i="2"/>
  <c r="E36" i="2" s="1"/>
  <c r="D35" i="2"/>
  <c r="E35" i="2" s="1"/>
  <c r="D34" i="2"/>
  <c r="D33" i="2"/>
  <c r="D32" i="2"/>
  <c r="E32" i="2" s="1"/>
  <c r="D31" i="2"/>
  <c r="E31" i="2" s="1"/>
  <c r="D30" i="2"/>
  <c r="D29" i="2"/>
  <c r="D28" i="2"/>
  <c r="E28" i="2" s="1"/>
  <c r="D27" i="2"/>
  <c r="E27" i="2" s="1"/>
  <c r="D26" i="2"/>
  <c r="D25" i="2"/>
  <c r="D24" i="2"/>
  <c r="E24" i="2" s="1"/>
  <c r="D23" i="2"/>
  <c r="E23" i="2" s="1"/>
  <c r="D22" i="2"/>
  <c r="D42" i="2" s="1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D99" i="3" s="1"/>
  <c r="B69" i="3"/>
  <c r="D44" i="3"/>
  <c r="D45" i="3" s="1"/>
  <c r="F45" i="3"/>
  <c r="G41" i="3" s="1"/>
  <c r="F98" i="3"/>
  <c r="D47" i="2"/>
  <c r="C47" i="2"/>
  <c r="D48" i="2"/>
  <c r="B47" i="2"/>
  <c r="C48" i="2"/>
  <c r="E25" i="2"/>
  <c r="E29" i="2"/>
  <c r="E33" i="2"/>
  <c r="E37" i="2"/>
  <c r="E26" i="2"/>
  <c r="E30" i="2"/>
  <c r="E34" i="2"/>
  <c r="E38" i="2"/>
  <c r="G93" i="3"/>
  <c r="E21" i="2"/>
  <c r="E22" i="2"/>
  <c r="G91" i="3" l="1"/>
  <c r="F46" i="3"/>
  <c r="E40" i="3"/>
  <c r="E38" i="3"/>
  <c r="E39" i="3"/>
  <c r="G39" i="3"/>
  <c r="E92" i="3"/>
  <c r="E91" i="3"/>
  <c r="E93" i="3"/>
  <c r="E94" i="3"/>
  <c r="F99" i="3"/>
  <c r="D46" i="3"/>
  <c r="E41" i="3"/>
  <c r="G92" i="3"/>
  <c r="G38" i="3"/>
  <c r="G94" i="3"/>
  <c r="G40" i="3"/>
  <c r="G95" i="3" l="1"/>
  <c r="E95" i="3"/>
  <c r="D103" i="3"/>
  <c r="E113" i="3" s="1"/>
  <c r="F113" i="3" s="1"/>
  <c r="E42" i="3"/>
  <c r="G42" i="3"/>
  <c r="D50" i="3"/>
  <c r="D51" i="3" s="1"/>
  <c r="D52" i="3"/>
  <c r="D105" i="3"/>
  <c r="D104" i="3" l="1"/>
  <c r="E108" i="3"/>
  <c r="E109" i="3"/>
  <c r="F109" i="3" s="1"/>
  <c r="E110" i="3"/>
  <c r="F110" i="3" s="1"/>
  <c r="E111" i="3"/>
  <c r="F111" i="3" s="1"/>
  <c r="E112" i="3"/>
  <c r="F112" i="3" s="1"/>
  <c r="G62" i="3"/>
  <c r="H62" i="3" s="1"/>
  <c r="G64" i="3"/>
  <c r="H64" i="3" s="1"/>
  <c r="G63" i="3"/>
  <c r="H63" i="3" s="1"/>
  <c r="G68" i="3"/>
  <c r="H68" i="3" s="1"/>
  <c r="G69" i="3"/>
  <c r="H69" i="3" s="1"/>
  <c r="G65" i="3"/>
  <c r="H65" i="3" s="1"/>
  <c r="G60" i="3"/>
  <c r="G71" i="3"/>
  <c r="H71" i="3" s="1"/>
  <c r="G67" i="3"/>
  <c r="H67" i="3" s="1"/>
  <c r="G66" i="3"/>
  <c r="H66" i="3" s="1"/>
  <c r="G61" i="3"/>
  <c r="H61" i="3" s="1"/>
  <c r="G70" i="3"/>
  <c r="H70" i="3" s="1"/>
  <c r="E119" i="3" l="1"/>
  <c r="E117" i="3"/>
  <c r="E115" i="3"/>
  <c r="E116" i="3" s="1"/>
  <c r="E120" i="3"/>
  <c r="F108" i="3"/>
  <c r="F117" i="3" s="1"/>
  <c r="G72" i="3"/>
  <c r="G73" i="3" s="1"/>
  <c r="H60" i="3"/>
  <c r="H74" i="3" s="1"/>
  <c r="G74" i="3"/>
  <c r="F120" i="3" l="1"/>
  <c r="F115" i="3"/>
  <c r="F116" i="3" s="1"/>
  <c r="F125" i="3"/>
  <c r="F119" i="3"/>
  <c r="D125" i="3"/>
  <c r="H72" i="3"/>
  <c r="G76" i="3" s="1"/>
  <c r="G124" i="3" l="1"/>
  <c r="H73" i="3"/>
</calcChain>
</file>

<file path=xl/sharedStrings.xml><?xml version="1.0" encoding="utf-8"?>
<sst xmlns="http://schemas.openxmlformats.org/spreadsheetml/2006/main" count="242" uniqueCount="139">
  <si>
    <t>HPLC System Suitability Report</t>
  </si>
  <si>
    <t>Analysis Data</t>
  </si>
  <si>
    <t>Assay</t>
  </si>
  <si>
    <t>Sample(s)</t>
  </si>
  <si>
    <t>Reference Substance:</t>
  </si>
  <si>
    <t>DOXY CAPSULES</t>
  </si>
  <si>
    <t>% age Purity:</t>
  </si>
  <si>
    <t>NDQB201709139</t>
  </si>
  <si>
    <t>Weight (mg):</t>
  </si>
  <si>
    <t>Doxycline Hyclate BP</t>
  </si>
  <si>
    <t>Standard Conc (mg/mL):</t>
  </si>
  <si>
    <t>Each capsule contains Doxycline Hyclate BP equivalent to Doxycline 100 mg.</t>
  </si>
  <si>
    <t>2017-09-19 08:07:12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</si>
  <si>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</si>
  <si>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</si>
  <si>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</si>
  <si>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</si>
  <si>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</si>
  <si>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</si>
  <si>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</si>
  <si>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</si>
  <si>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</si>
  <si>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</si>
  <si>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</si>
  <si>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</si>
  <si>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</si>
  <si>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</si>
  <si>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</si>
  <si>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</si>
  <si>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</si>
  <si>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</si>
  <si>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</si>
  <si>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</si>
  <si>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</si>
  <si>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</si>
  <si>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</si>
  <si>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</si>
  <si>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</si>
  <si>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</si>
  <si>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2017-09-27 08:01:13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</si>
  <si>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</si>
  <si>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</si>
  <si>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</si>
  <si>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</si>
  <si>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</si>
  <si>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</si>
  <si>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</si>
  <si>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</si>
  <si>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</si>
  <si>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</si>
  <si>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</si>
  <si>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</si>
  <si>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</si>
  <si>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</si>
  <si>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</si>
  <si>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</si>
  <si>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</si>
  <si>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</si>
  <si>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</si>
  <si>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</si>
  <si>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</si>
  <si>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</si>
  <si>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</si>
  <si>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</si>
  <si>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</si>
  <si>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</si>
  <si>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</si>
  <si>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</si>
  <si>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</si>
  <si>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</si>
  <si>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</si>
  <si>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</si>
  <si>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</si>
  <si>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</si>
  <si>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</si>
  <si>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</si>
  <si>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</si>
  <si>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</si>
  <si>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</si>
  <si>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</si>
  <si>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</si>
  <si>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</si>
  <si>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</si>
  <si>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</si>
  <si>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</si>
  <si>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</si>
  <si>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</si>
  <si>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</si>
  <si>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</si>
  <si>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</si>
  <si>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</si>
  <si>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</si>
  <si>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</si>
  <si>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</si>
  <si>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</si>
  <si>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</si>
  <si>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</si>
  <si>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</si>
  <si>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</si>
  <si>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</si>
  <si>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</si>
  <si>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</si>
  <si>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</si>
  <si>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</si>
  <si>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</si>
  <si>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</si>
  <si>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</si>
  <si>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</si>
  <si>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</si>
  <si>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</si>
  <si>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</si>
  <si>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</si>
  <si>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</si>
  <si>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</si>
  <si>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</si>
  <si>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</si>
  <si>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</si>
  <si>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</si>
  <si>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</si>
  <si>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</si>
  <si>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</si>
  <si>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</si>
  <si>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</si>
  <si>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</si>
  <si>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</si>
  <si>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</si>
  <si>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</si>
  <si>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</si>
  <si>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</si>
  <si>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</si>
  <si>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</si>
  <si>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</si>
  <si>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</si>
  <si>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</si>
  <si>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</si>
  <si>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D23-2</t>
  </si>
  <si>
    <t xml:space="preserve">Doxycycline Hyclate 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</si>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</sst>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53" xfId="0" applyNumberFormat="1" applyFont="1" applyFill="1" applyBorder="1" applyAlignment="1" applyProtection="1">
      <alignment horizontal="center"/>
      <protection locked="0"/>
    </xf>
    <xf numFmtId="171" fontId="13" fillId="3" borderId="32" xfId="0" applyNumberFormat="1" applyFont="1" applyFill="1" applyBorder="1" applyAlignment="1" applyProtection="1">
      <alignment horizontal="center"/>
      <protection locked="0"/>
    </xf>
    <xf numFmtId="15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4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8" t="s">
        <v>0</v>
      </c>
      <c r="B15" s="308"/>
      <c r="C15" s="308"/>
      <c r="D15" s="308"/>
      <c r="E15" s="30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98.453000000000003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16.64</v>
      </c>
      <c r="C20" s="10"/>
      <c r="D20" s="10"/>
      <c r="E20" s="10"/>
    </row>
    <row r="21" spans="1:6" ht="16.5" customHeight="1" x14ac:dyDescent="0.3">
      <c r="A21" s="7" t="s">
        <v>10</v>
      </c>
      <c r="B21" s="13">
        <f>16.64/50</f>
        <v>0.33279999999999998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46700188</v>
      </c>
      <c r="C24" s="18">
        <v>10246</v>
      </c>
      <c r="D24" s="19">
        <v>0.9</v>
      </c>
      <c r="E24" s="20">
        <v>9.3000000000000007</v>
      </c>
    </row>
    <row r="25" spans="1:6" ht="16.5" customHeight="1" x14ac:dyDescent="0.3">
      <c r="A25" s="17">
        <v>2</v>
      </c>
      <c r="B25" s="18">
        <v>45164940</v>
      </c>
      <c r="C25" s="18">
        <v>10552.9</v>
      </c>
      <c r="D25" s="19">
        <v>1</v>
      </c>
      <c r="E25" s="19">
        <v>9.3000000000000007</v>
      </c>
    </row>
    <row r="26" spans="1:6" ht="16.5" customHeight="1" x14ac:dyDescent="0.3">
      <c r="A26" s="17">
        <v>3</v>
      </c>
      <c r="B26" s="18">
        <v>45036112</v>
      </c>
      <c r="C26" s="18">
        <v>10586.5</v>
      </c>
      <c r="D26" s="19">
        <v>1</v>
      </c>
      <c r="E26" s="19">
        <v>9.3000000000000007</v>
      </c>
    </row>
    <row r="27" spans="1:6" ht="16.5" customHeight="1" x14ac:dyDescent="0.3">
      <c r="A27" s="17">
        <v>4</v>
      </c>
      <c r="B27" s="18">
        <v>45001940</v>
      </c>
      <c r="C27" s="18">
        <v>10738.7</v>
      </c>
      <c r="D27" s="19">
        <v>1</v>
      </c>
      <c r="E27" s="19">
        <v>9.3000000000000007</v>
      </c>
    </row>
    <row r="28" spans="1:6" ht="16.5" customHeight="1" x14ac:dyDescent="0.3">
      <c r="A28" s="17">
        <v>5</v>
      </c>
      <c r="B28" s="18">
        <v>45236763</v>
      </c>
      <c r="C28" s="18">
        <v>10832.2</v>
      </c>
      <c r="D28" s="19">
        <v>0.9</v>
      </c>
      <c r="E28" s="19">
        <v>9.3000000000000007</v>
      </c>
    </row>
    <row r="29" spans="1:6" ht="16.5" customHeight="1" x14ac:dyDescent="0.3">
      <c r="A29" s="17">
        <v>6</v>
      </c>
      <c r="B29" s="21">
        <v>44965542</v>
      </c>
      <c r="C29" s="21">
        <v>10962.9</v>
      </c>
      <c r="D29" s="22">
        <v>0.9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45350914.166666664</v>
      </c>
      <c r="C30" s="25">
        <f>AVERAGE(C24:C29)</f>
        <v>10653.2</v>
      </c>
      <c r="D30" s="26">
        <f>AVERAGE(D24:D29)</f>
        <v>0.95000000000000007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1.4750797623193127E-2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137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9" t="s">
        <v>26</v>
      </c>
      <c r="C59" s="30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138</v>
      </c>
      <c r="C60" s="48"/>
      <c r="E60" s="307">
        <v>43006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D22" sqref="D2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5" t="s">
        <v>31</v>
      </c>
      <c r="B8" s="315"/>
      <c r="C8" s="315"/>
      <c r="D8" s="315"/>
      <c r="E8" s="315"/>
      <c r="F8" s="315"/>
      <c r="G8" s="315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6" t="s">
        <v>32</v>
      </c>
      <c r="B10" s="316"/>
      <c r="C10" s="316"/>
      <c r="D10" s="316"/>
      <c r="E10" s="316"/>
      <c r="F10" s="316"/>
      <c r="G10" s="316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10" t="s">
        <v>33</v>
      </c>
      <c r="B11" s="31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10" t="s">
        <v>34</v>
      </c>
      <c r="B12" s="31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10" t="s">
        <v>35</v>
      </c>
      <c r="B13" s="31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10" t="s">
        <v>36</v>
      </c>
      <c r="B14" s="310"/>
      <c r="C14" s="314" t="s">
        <v>11</v>
      </c>
      <c r="D14" s="314"/>
      <c r="E14" s="314"/>
      <c r="F14" s="314"/>
      <c r="G14" s="314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10" t="s">
        <v>37</v>
      </c>
      <c r="B15" s="31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10" t="s">
        <v>38</v>
      </c>
      <c r="B16" s="31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1" t="s">
        <v>1</v>
      </c>
      <c r="B18" s="31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329.97</v>
      </c>
      <c r="C21" s="83">
        <v>61.54</v>
      </c>
      <c r="D21" s="84">
        <f t="shared" ref="D21:D40" si="0">B21-C21</f>
        <v>268.43</v>
      </c>
      <c r="E21" s="85">
        <f t="shared" ref="E21:E40" si="1">(D21-$D$43)/$D$43</f>
        <v>-1.751547770898821E-2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328.55</v>
      </c>
      <c r="C22" s="88">
        <v>60.06</v>
      </c>
      <c r="D22" s="89">
        <f t="shared" si="0"/>
        <v>268.49</v>
      </c>
      <c r="E22" s="85">
        <f t="shared" si="1"/>
        <v>-1.7295870841881469E-2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332.05</v>
      </c>
      <c r="C23" s="88">
        <v>63.1</v>
      </c>
      <c r="D23" s="89">
        <f t="shared" si="0"/>
        <v>268.95</v>
      </c>
      <c r="E23" s="85">
        <f t="shared" si="1"/>
        <v>-1.5612218194063247E-2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339.1</v>
      </c>
      <c r="C24" s="88">
        <v>60.76</v>
      </c>
      <c r="D24" s="89">
        <f t="shared" si="0"/>
        <v>278.34000000000003</v>
      </c>
      <c r="E24" s="85">
        <f t="shared" si="1"/>
        <v>1.8756256508140841E-2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329.77</v>
      </c>
      <c r="C25" s="88">
        <v>64.150000000000006</v>
      </c>
      <c r="D25" s="89">
        <f t="shared" si="0"/>
        <v>265.62</v>
      </c>
      <c r="E25" s="85">
        <f t="shared" si="1"/>
        <v>-2.7800399318486945E-2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328.65</v>
      </c>
      <c r="C26" s="88">
        <v>61.06</v>
      </c>
      <c r="D26" s="89">
        <f t="shared" si="0"/>
        <v>267.58999999999997</v>
      </c>
      <c r="E26" s="85">
        <f t="shared" si="1"/>
        <v>-2.0589973848482608E-2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342.82</v>
      </c>
      <c r="C27" s="88">
        <v>59.63</v>
      </c>
      <c r="D27" s="89">
        <f t="shared" si="0"/>
        <v>283.19</v>
      </c>
      <c r="E27" s="85">
        <f t="shared" si="1"/>
        <v>3.6507811599268407E-2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339.95</v>
      </c>
      <c r="C28" s="88">
        <v>62.63</v>
      </c>
      <c r="D28" s="89">
        <f t="shared" si="0"/>
        <v>277.32</v>
      </c>
      <c r="E28" s="85">
        <f t="shared" si="1"/>
        <v>1.5022939767326214E-2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342.97</v>
      </c>
      <c r="C29" s="88">
        <v>64.010000000000005</v>
      </c>
      <c r="D29" s="89">
        <f t="shared" si="0"/>
        <v>278.96000000000004</v>
      </c>
      <c r="E29" s="85">
        <f t="shared" si="1"/>
        <v>2.1025527468243779E-2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334.87</v>
      </c>
      <c r="C30" s="88">
        <v>65.010000000000005</v>
      </c>
      <c r="D30" s="89">
        <f t="shared" si="0"/>
        <v>269.86</v>
      </c>
      <c r="E30" s="85">
        <f t="shared" si="1"/>
        <v>-1.2281514042944352E-2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337.25</v>
      </c>
      <c r="C31" s="88">
        <v>62.81</v>
      </c>
      <c r="D31" s="89">
        <f t="shared" si="0"/>
        <v>274.44</v>
      </c>
      <c r="E31" s="85">
        <f t="shared" si="1"/>
        <v>4.4818101462029813E-3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337.34</v>
      </c>
      <c r="C32" s="88">
        <v>62.47</v>
      </c>
      <c r="D32" s="89">
        <f t="shared" si="0"/>
        <v>274.87</v>
      </c>
      <c r="E32" s="85">
        <f t="shared" si="1"/>
        <v>6.0556593604679356E-3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339.11</v>
      </c>
      <c r="C33" s="88">
        <v>62.18</v>
      </c>
      <c r="D33" s="89">
        <f t="shared" si="0"/>
        <v>276.93</v>
      </c>
      <c r="E33" s="85">
        <f t="shared" si="1"/>
        <v>1.3595495131132491E-2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346.89</v>
      </c>
      <c r="C34" s="88">
        <v>63.38</v>
      </c>
      <c r="D34" s="89">
        <f t="shared" si="0"/>
        <v>283.51</v>
      </c>
      <c r="E34" s="85">
        <f t="shared" si="1"/>
        <v>3.7679048223837636E-2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336.7</v>
      </c>
      <c r="C35" s="88">
        <v>62.33</v>
      </c>
      <c r="D35" s="89">
        <f t="shared" si="0"/>
        <v>274.37</v>
      </c>
      <c r="E35" s="85">
        <f t="shared" si="1"/>
        <v>4.2256021345784822E-3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331.52</v>
      </c>
      <c r="C36" s="88">
        <v>65.09</v>
      </c>
      <c r="D36" s="89">
        <f t="shared" si="0"/>
        <v>266.42999999999995</v>
      </c>
      <c r="E36" s="85">
        <f t="shared" si="1"/>
        <v>-2.4835706612546232E-2</v>
      </c>
      <c r="G36" s="66"/>
      <c r="H36" s="66"/>
    </row>
    <row r="37" spans="1:15" ht="15" x14ac:dyDescent="0.3">
      <c r="A37" s="86">
        <v>17</v>
      </c>
      <c r="B37" s="90">
        <v>342.4</v>
      </c>
      <c r="C37" s="88">
        <v>63.59</v>
      </c>
      <c r="D37" s="89">
        <f t="shared" si="0"/>
        <v>278.80999999999995</v>
      </c>
      <c r="E37" s="85">
        <f t="shared" si="1"/>
        <v>2.0476510300476609E-2</v>
      </c>
    </row>
    <row r="38" spans="1:15" ht="15" x14ac:dyDescent="0.3">
      <c r="A38" s="86">
        <v>18</v>
      </c>
      <c r="B38" s="90">
        <v>328.78</v>
      </c>
      <c r="C38" s="88">
        <v>63.68</v>
      </c>
      <c r="D38" s="89">
        <f t="shared" si="0"/>
        <v>265.09999999999997</v>
      </c>
      <c r="E38" s="85">
        <f t="shared" si="1"/>
        <v>-2.9703658833412118E-2</v>
      </c>
    </row>
    <row r="39" spans="1:15" ht="15" x14ac:dyDescent="0.3">
      <c r="A39" s="86">
        <v>19</v>
      </c>
      <c r="B39" s="90">
        <v>336.8</v>
      </c>
      <c r="C39" s="88">
        <v>63.66</v>
      </c>
      <c r="D39" s="89">
        <f t="shared" si="0"/>
        <v>273.14</v>
      </c>
      <c r="E39" s="85">
        <f t="shared" si="1"/>
        <v>-2.7633864110963863E-4</v>
      </c>
    </row>
    <row r="40" spans="1:15" ht="14.25" customHeight="1" x14ac:dyDescent="0.3">
      <c r="A40" s="91">
        <v>20</v>
      </c>
      <c r="B40" s="92">
        <v>331.74</v>
      </c>
      <c r="C40" s="93">
        <v>61.78</v>
      </c>
      <c r="D40" s="94">
        <f t="shared" si="0"/>
        <v>269.96000000000004</v>
      </c>
      <c r="E40" s="95">
        <f t="shared" si="1"/>
        <v>-1.1915502597766378E-2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6717.23</v>
      </c>
      <c r="C42" s="98">
        <f>SUM(C21:C40)</f>
        <v>1252.92</v>
      </c>
      <c r="D42" s="99">
        <f>SUM(D21:D40)</f>
        <v>5464.3100000000013</v>
      </c>
    </row>
    <row r="43" spans="1:15" ht="15.75" customHeight="1" x14ac:dyDescent="0.3">
      <c r="A43" s="100" t="s">
        <v>47</v>
      </c>
      <c r="B43" s="101">
        <f>AVERAGE(B21:B40)</f>
        <v>335.86149999999998</v>
      </c>
      <c r="C43" s="102">
        <f>AVERAGE(C21:C40)</f>
        <v>62.646000000000001</v>
      </c>
      <c r="D43" s="103">
        <f>AVERAGE(D21:D40)</f>
        <v>273.21550000000008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2">
        <f>D43</f>
        <v>273.21550000000008</v>
      </c>
      <c r="C47" s="107">
        <f>-(IF(D43&gt;300, 7.5%, 10%))</f>
        <v>-0.1</v>
      </c>
      <c r="D47" s="108">
        <f>IF(D43&lt;300, D43*0.9, D43*0.925)</f>
        <v>245.89395000000007</v>
      </c>
    </row>
    <row r="48" spans="1:15" ht="15.75" customHeight="1" x14ac:dyDescent="0.3">
      <c r="B48" s="313"/>
      <c r="C48" s="109">
        <f>+(IF(D43&gt;300, 7.5%, 10%))</f>
        <v>0.1</v>
      </c>
      <c r="D48" s="108">
        <f>IF(D43&lt;300, D43*1.1, D43*1.075)</f>
        <v>300.53705000000014</v>
      </c>
    </row>
    <row r="49" spans="1:7" ht="14.25" customHeight="1" x14ac:dyDescent="0.3">
      <c r="A49" s="110"/>
      <c r="D49" s="111"/>
    </row>
    <row r="50" spans="1:7" ht="15" customHeight="1" x14ac:dyDescent="0.3">
      <c r="B50" s="309" t="s">
        <v>26</v>
      </c>
      <c r="C50" s="30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F18" sqref="F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7" t="s">
        <v>49</v>
      </c>
      <c r="B1" s="317"/>
      <c r="C1" s="317"/>
      <c r="D1" s="317"/>
      <c r="E1" s="317"/>
      <c r="F1" s="317"/>
      <c r="G1" s="317"/>
      <c r="H1" s="317"/>
      <c r="I1" s="317"/>
    </row>
    <row r="2" spans="1:9" ht="18.75" customHeight="1" x14ac:dyDescent="0.25">
      <c r="A2" s="317"/>
      <c r="B2" s="317"/>
      <c r="C2" s="317"/>
      <c r="D2" s="317"/>
      <c r="E2" s="317"/>
      <c r="F2" s="317"/>
      <c r="G2" s="317"/>
      <c r="H2" s="317"/>
      <c r="I2" s="317"/>
    </row>
    <row r="3" spans="1:9" ht="18.75" customHeight="1" x14ac:dyDescent="0.25">
      <c r="A3" s="317"/>
      <c r="B3" s="317"/>
      <c r="C3" s="317"/>
      <c r="D3" s="317"/>
      <c r="E3" s="317"/>
      <c r="F3" s="317"/>
      <c r="G3" s="317"/>
      <c r="H3" s="317"/>
      <c r="I3" s="317"/>
    </row>
    <row r="4" spans="1:9" ht="18.75" customHeight="1" x14ac:dyDescent="0.25">
      <c r="A4" s="317"/>
      <c r="B4" s="317"/>
      <c r="C4" s="317"/>
      <c r="D4" s="317"/>
      <c r="E4" s="317"/>
      <c r="F4" s="317"/>
      <c r="G4" s="317"/>
      <c r="H4" s="317"/>
      <c r="I4" s="317"/>
    </row>
    <row r="5" spans="1:9" ht="18.75" customHeight="1" x14ac:dyDescent="0.25">
      <c r="A5" s="317"/>
      <c r="B5" s="317"/>
      <c r="C5" s="317"/>
      <c r="D5" s="317"/>
      <c r="E5" s="317"/>
      <c r="F5" s="317"/>
      <c r="G5" s="317"/>
      <c r="H5" s="317"/>
      <c r="I5" s="317"/>
    </row>
    <row r="6" spans="1:9" ht="18.75" customHeight="1" x14ac:dyDescent="0.25">
      <c r="A6" s="317"/>
      <c r="B6" s="317"/>
      <c r="C6" s="317"/>
      <c r="D6" s="317"/>
      <c r="E6" s="317"/>
      <c r="F6" s="317"/>
      <c r="G6" s="317"/>
      <c r="H6" s="317"/>
      <c r="I6" s="317"/>
    </row>
    <row r="7" spans="1:9" ht="18.75" customHeight="1" x14ac:dyDescent="0.25">
      <c r="A7" s="317"/>
      <c r="B7" s="317"/>
      <c r="C7" s="317"/>
      <c r="D7" s="317"/>
      <c r="E7" s="317"/>
      <c r="F7" s="317"/>
      <c r="G7" s="317"/>
      <c r="H7" s="317"/>
      <c r="I7" s="317"/>
    </row>
    <row r="8" spans="1:9" x14ac:dyDescent="0.25">
      <c r="A8" s="318" t="s">
        <v>50</v>
      </c>
      <c r="B8" s="318"/>
      <c r="C8" s="318"/>
      <c r="D8" s="318"/>
      <c r="E8" s="318"/>
      <c r="F8" s="318"/>
      <c r="G8" s="318"/>
      <c r="H8" s="318"/>
      <c r="I8" s="318"/>
    </row>
    <row r="9" spans="1:9" x14ac:dyDescent="0.25">
      <c r="A9" s="318"/>
      <c r="B9" s="318"/>
      <c r="C9" s="318"/>
      <c r="D9" s="318"/>
      <c r="E9" s="318"/>
      <c r="F9" s="318"/>
      <c r="G9" s="318"/>
      <c r="H9" s="318"/>
      <c r="I9" s="318"/>
    </row>
    <row r="10" spans="1:9" x14ac:dyDescent="0.25">
      <c r="A10" s="318"/>
      <c r="B10" s="318"/>
      <c r="C10" s="318"/>
      <c r="D10" s="318"/>
      <c r="E10" s="318"/>
      <c r="F10" s="318"/>
      <c r="G10" s="318"/>
      <c r="H10" s="318"/>
      <c r="I10" s="318"/>
    </row>
    <row r="11" spans="1:9" x14ac:dyDescent="0.25">
      <c r="A11" s="318"/>
      <c r="B11" s="318"/>
      <c r="C11" s="318"/>
      <c r="D11" s="318"/>
      <c r="E11" s="318"/>
      <c r="F11" s="318"/>
      <c r="G11" s="318"/>
      <c r="H11" s="318"/>
      <c r="I11" s="318"/>
    </row>
    <row r="12" spans="1:9" x14ac:dyDescent="0.25">
      <c r="A12" s="318"/>
      <c r="B12" s="318"/>
      <c r="C12" s="318"/>
      <c r="D12" s="318"/>
      <c r="E12" s="318"/>
      <c r="F12" s="318"/>
      <c r="G12" s="318"/>
      <c r="H12" s="318"/>
      <c r="I12" s="318"/>
    </row>
    <row r="13" spans="1:9" x14ac:dyDescent="0.25">
      <c r="A13" s="318"/>
      <c r="B13" s="318"/>
      <c r="C13" s="318"/>
      <c r="D13" s="318"/>
      <c r="E13" s="318"/>
      <c r="F13" s="318"/>
      <c r="G13" s="318"/>
      <c r="H13" s="318"/>
      <c r="I13" s="318"/>
    </row>
    <row r="14" spans="1:9" x14ac:dyDescent="0.25">
      <c r="A14" s="318"/>
      <c r="B14" s="318"/>
      <c r="C14" s="318"/>
      <c r="D14" s="318"/>
      <c r="E14" s="318"/>
      <c r="F14" s="318"/>
      <c r="G14" s="318"/>
      <c r="H14" s="318"/>
      <c r="I14" s="318"/>
    </row>
    <row r="15" spans="1:9" ht="19.5" customHeight="1" x14ac:dyDescent="0.3">
      <c r="A15" s="119"/>
    </row>
    <row r="16" spans="1:9" ht="19.5" customHeight="1" x14ac:dyDescent="0.3">
      <c r="A16" s="350" t="s">
        <v>31</v>
      </c>
      <c r="B16" s="351"/>
      <c r="C16" s="351"/>
      <c r="D16" s="351"/>
      <c r="E16" s="351"/>
      <c r="F16" s="351"/>
      <c r="G16" s="351"/>
      <c r="H16" s="352"/>
    </row>
    <row r="17" spans="1:14" ht="20.25" customHeight="1" x14ac:dyDescent="0.25">
      <c r="A17" s="353" t="s">
        <v>51</v>
      </c>
      <c r="B17" s="353"/>
      <c r="C17" s="353"/>
      <c r="D17" s="353"/>
      <c r="E17" s="353"/>
      <c r="F17" s="353"/>
      <c r="G17" s="353"/>
      <c r="H17" s="353"/>
    </row>
    <row r="18" spans="1:14" ht="26.25" customHeight="1" x14ac:dyDescent="0.4">
      <c r="A18" s="121" t="s">
        <v>33</v>
      </c>
      <c r="B18" s="349" t="s">
        <v>5</v>
      </c>
      <c r="C18" s="349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54" t="s">
        <v>136</v>
      </c>
      <c r="C20" s="354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54" t="s">
        <v>11</v>
      </c>
      <c r="C21" s="354"/>
      <c r="D21" s="354"/>
      <c r="E21" s="354"/>
      <c r="F21" s="354"/>
      <c r="G21" s="354"/>
      <c r="H21" s="354"/>
      <c r="I21" s="125"/>
    </row>
    <row r="22" spans="1:14" ht="26.25" customHeight="1" x14ac:dyDescent="0.4">
      <c r="A22" s="121" t="s">
        <v>37</v>
      </c>
      <c r="B22" s="126">
        <v>43004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>
        <v>43006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49" t="s">
        <v>136</v>
      </c>
      <c r="C26" s="349"/>
    </row>
    <row r="27" spans="1:14" ht="26.25" customHeight="1" x14ac:dyDescent="0.4">
      <c r="A27" s="130" t="s">
        <v>52</v>
      </c>
      <c r="B27" s="355" t="s">
        <v>135</v>
      </c>
      <c r="C27" s="355"/>
    </row>
    <row r="28" spans="1:14" ht="27" customHeight="1" x14ac:dyDescent="0.4">
      <c r="A28" s="130" t="s">
        <v>6</v>
      </c>
      <c r="B28" s="131">
        <v>98.45</v>
      </c>
    </row>
    <row r="29" spans="1:14" s="14" customFormat="1" ht="27" customHeight="1" x14ac:dyDescent="0.4">
      <c r="A29" s="130" t="s">
        <v>53</v>
      </c>
      <c r="B29" s="132">
        <v>0</v>
      </c>
      <c r="C29" s="325" t="s">
        <v>54</v>
      </c>
      <c r="D29" s="326"/>
      <c r="E29" s="326"/>
      <c r="F29" s="326"/>
      <c r="G29" s="327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98.45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888.88</v>
      </c>
      <c r="C31" s="328" t="s">
        <v>57</v>
      </c>
      <c r="D31" s="329"/>
      <c r="E31" s="329"/>
      <c r="F31" s="329"/>
      <c r="G31" s="329"/>
      <c r="H31" s="330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1025.8699999999999</v>
      </c>
      <c r="C32" s="328" t="s">
        <v>59</v>
      </c>
      <c r="D32" s="329"/>
      <c r="E32" s="329"/>
      <c r="F32" s="329"/>
      <c r="G32" s="329"/>
      <c r="H32" s="330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0.86646456178658127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50</v>
      </c>
      <c r="C36" s="120"/>
      <c r="D36" s="331" t="s">
        <v>63</v>
      </c>
      <c r="E36" s="356"/>
      <c r="F36" s="331" t="s">
        <v>64</v>
      </c>
      <c r="G36" s="332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44402459</v>
      </c>
      <c r="E38" s="154">
        <f>IF(ISBLANK(D38),"-",$D$48/$D$45*D38)</f>
        <v>46922207.280781999</v>
      </c>
      <c r="F38" s="153">
        <v>47807286</v>
      </c>
      <c r="G38" s="155">
        <f>IF(ISBLANK(F38),"-",$D$48/$F$45*F38)</f>
        <v>46496514.39214953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44902266</v>
      </c>
      <c r="E39" s="159">
        <f>IF(ISBLANK(D39),"-",$D$48/$D$45*D39)</f>
        <v>47450377.300698824</v>
      </c>
      <c r="F39" s="158">
        <v>47900290</v>
      </c>
      <c r="G39" s="160">
        <f>IF(ISBLANK(F39),"-",$D$48/$F$45*F39)</f>
        <v>46586968.425129518</v>
      </c>
      <c r="I39" s="333">
        <f>ABS((F43/D43*D42)-F42)/D42</f>
        <v>2.0426755448331033E-2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44675723</v>
      </c>
      <c r="E40" s="159">
        <f>IF(ISBLANK(D40),"-",$D$48/$D$45*D40)</f>
        <v>47210978.451098844</v>
      </c>
      <c r="F40" s="158">
        <v>47130548</v>
      </c>
      <c r="G40" s="160">
        <f>IF(ISBLANK(F40),"-",$D$48/$F$45*F40)</f>
        <v>45838331.073466383</v>
      </c>
      <c r="I40" s="333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44660149.333333336</v>
      </c>
      <c r="E42" s="169">
        <f>AVERAGE(E38:E41)</f>
        <v>47194521.010859884</v>
      </c>
      <c r="F42" s="168">
        <f>AVERAGE(F38:F41)</f>
        <v>47612708</v>
      </c>
      <c r="G42" s="170">
        <f>AVERAGE(G38:G41)</f>
        <v>46307271.296915144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16.64</v>
      </c>
      <c r="E43" s="161"/>
      <c r="F43" s="173">
        <v>18.079999999999998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14.417970308128712</v>
      </c>
      <c r="E44" s="176"/>
      <c r="F44" s="175">
        <f>F43*$B$34</f>
        <v>15.665679277101388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50</v>
      </c>
      <c r="C45" s="174" t="s">
        <v>81</v>
      </c>
      <c r="D45" s="178">
        <f>D44*$B$30/100</f>
        <v>14.194491768352718</v>
      </c>
      <c r="E45" s="179"/>
      <c r="F45" s="178">
        <f>F44*$B$30/100</f>
        <v>15.422861248306317</v>
      </c>
      <c r="H45" s="171"/>
    </row>
    <row r="46" spans="1:14" ht="19.5" customHeight="1" x14ac:dyDescent="0.3">
      <c r="A46" s="319" t="s">
        <v>82</v>
      </c>
      <c r="B46" s="320"/>
      <c r="C46" s="174" t="s">
        <v>83</v>
      </c>
      <c r="D46" s="180">
        <f>D45/$B$45</f>
        <v>0.28388983536705437</v>
      </c>
      <c r="E46" s="181"/>
      <c r="F46" s="182">
        <f>F45/$B$45</f>
        <v>0.30845722496612632</v>
      </c>
      <c r="H46" s="171"/>
    </row>
    <row r="47" spans="1:14" ht="27" customHeight="1" x14ac:dyDescent="0.4">
      <c r="A47" s="321"/>
      <c r="B47" s="322"/>
      <c r="C47" s="183" t="s">
        <v>84</v>
      </c>
      <c r="D47" s="184">
        <v>0.3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15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17.311729367293669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46750896.15388751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1.2304917906238907E-2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 Doxycline Hyclate BP equivalent to Doxycline 100 mg.</v>
      </c>
    </row>
    <row r="56" spans="1:12" ht="26.25" customHeight="1" x14ac:dyDescent="0.4">
      <c r="A56" s="198" t="s">
        <v>91</v>
      </c>
      <c r="B56" s="199">
        <v>100</v>
      </c>
      <c r="C56" s="120" t="str">
        <f>B20</f>
        <v xml:space="preserve">Doxycycline Hyclate </v>
      </c>
      <c r="H56" s="200"/>
    </row>
    <row r="57" spans="1:12" ht="18.75" x14ac:dyDescent="0.3">
      <c r="A57" s="197" t="s">
        <v>92</v>
      </c>
      <c r="B57" s="268">
        <f>Uniformity!D43</f>
        <v>273.21550000000008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5</v>
      </c>
      <c r="C60" s="336" t="s">
        <v>98</v>
      </c>
      <c r="D60" s="339">
        <v>275.01</v>
      </c>
      <c r="E60" s="203">
        <v>1</v>
      </c>
      <c r="F60" s="204">
        <v>43357680</v>
      </c>
      <c r="G60" s="269">
        <f>IF(ISBLANK(F60),"-",(F60/$D$50*$D$47*$B$68)*($B$57/$D$60))</f>
        <v>110.56411387567213</v>
      </c>
      <c r="H60" s="287">
        <f t="shared" ref="H60:H71" si="0">IF(ISBLANK(F60),"-",(G60/$B$56)*100)</f>
        <v>110.56411387567213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37"/>
      <c r="D61" s="340"/>
      <c r="E61" s="205">
        <v>2</v>
      </c>
      <c r="F61" s="158">
        <v>44223060</v>
      </c>
      <c r="G61" s="270">
        <f>IF(ISBLANK(F61),"-",(F61/$D$50*$D$47*$B$68)*($B$57/$D$60))</f>
        <v>112.77087339015097</v>
      </c>
      <c r="H61" s="288">
        <f t="shared" si="0"/>
        <v>112.77087339015097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7"/>
      <c r="D62" s="340"/>
      <c r="E62" s="205">
        <v>3</v>
      </c>
      <c r="F62" s="206">
        <v>44390286</v>
      </c>
      <c r="G62" s="270">
        <f>IF(ISBLANK(F62),"-",(F62/$D$50*$D$47*$B$68)*($B$57/$D$60))</f>
        <v>113.19730751916744</v>
      </c>
      <c r="H62" s="288">
        <f t="shared" si="0"/>
        <v>113.19730751916744</v>
      </c>
      <c r="L62" s="133"/>
    </row>
    <row r="63" spans="1:12" ht="27" customHeight="1" x14ac:dyDescent="0.4">
      <c r="A63" s="145" t="s">
        <v>101</v>
      </c>
      <c r="B63" s="146">
        <v>1</v>
      </c>
      <c r="C63" s="346"/>
      <c r="D63" s="341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6" t="s">
        <v>103</v>
      </c>
      <c r="D64" s="339">
        <v>274.25</v>
      </c>
      <c r="E64" s="203">
        <v>1</v>
      </c>
      <c r="F64" s="204">
        <v>43449114</v>
      </c>
      <c r="G64" s="269">
        <f>IF(ISBLANK(F64),"-",(F64/$D$50*$D$47*$B$68)*($B$57/$D$64))</f>
        <v>111.10431561801626</v>
      </c>
      <c r="H64" s="287">
        <f t="shared" si="0"/>
        <v>111.10431561801626</v>
      </c>
    </row>
    <row r="65" spans="1:8" ht="26.25" customHeight="1" x14ac:dyDescent="0.4">
      <c r="A65" s="145" t="s">
        <v>104</v>
      </c>
      <c r="B65" s="146">
        <v>1</v>
      </c>
      <c r="C65" s="337"/>
      <c r="D65" s="340"/>
      <c r="E65" s="205">
        <v>2</v>
      </c>
      <c r="F65" s="158">
        <v>43595487</v>
      </c>
      <c r="G65" s="270">
        <f>IF(ISBLANK(F65),"-",(F65/$D$50*$D$47*$B$68)*($B$57/$D$64))</f>
        <v>111.47860799115774</v>
      </c>
      <c r="H65" s="288">
        <f t="shared" si="0"/>
        <v>111.47860799115774</v>
      </c>
    </row>
    <row r="66" spans="1:8" ht="26.25" customHeight="1" x14ac:dyDescent="0.4">
      <c r="A66" s="145" t="s">
        <v>105</v>
      </c>
      <c r="B66" s="146">
        <v>1</v>
      </c>
      <c r="C66" s="337"/>
      <c r="D66" s="340"/>
      <c r="E66" s="205">
        <v>3</v>
      </c>
      <c r="F66" s="158">
        <v>43322494</v>
      </c>
      <c r="G66" s="270">
        <f>IF(ISBLANK(F66),"-",(F66/$D$50*$D$47*$B$68)*($B$57/$D$64))</f>
        <v>110.78053390767911</v>
      </c>
      <c r="H66" s="288">
        <f t="shared" si="0"/>
        <v>110.78053390767913</v>
      </c>
    </row>
    <row r="67" spans="1:8" ht="27" customHeight="1" x14ac:dyDescent="0.4">
      <c r="A67" s="145" t="s">
        <v>106</v>
      </c>
      <c r="B67" s="146">
        <v>1</v>
      </c>
      <c r="C67" s="346"/>
      <c r="D67" s="341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400</v>
      </c>
      <c r="C68" s="336" t="s">
        <v>108</v>
      </c>
      <c r="D68" s="339">
        <v>273</v>
      </c>
      <c r="E68" s="203">
        <v>1</v>
      </c>
      <c r="F68" s="204">
        <v>42521125</v>
      </c>
      <c r="G68" s="269">
        <f>IF(ISBLANK(F68),"-",(F68/$D$50*$D$47*$B$68)*($B$57/$D$68))</f>
        <v>109.22919655782096</v>
      </c>
      <c r="H68" s="288">
        <f t="shared" si="0"/>
        <v>109.22919655782096</v>
      </c>
    </row>
    <row r="69" spans="1:8" ht="27" customHeight="1" x14ac:dyDescent="0.4">
      <c r="A69" s="193" t="s">
        <v>109</v>
      </c>
      <c r="B69" s="210">
        <f>(D47*B68)/B56*B57</f>
        <v>327.85860000000008</v>
      </c>
      <c r="C69" s="337"/>
      <c r="D69" s="340"/>
      <c r="E69" s="205">
        <v>2</v>
      </c>
      <c r="F69" s="158">
        <v>42807371</v>
      </c>
      <c r="G69" s="270">
        <f>IF(ISBLANK(F69),"-",(F69/$D$50*$D$47*$B$68)*($B$57/$D$68))</f>
        <v>109.96451154767342</v>
      </c>
      <c r="H69" s="288">
        <f t="shared" si="0"/>
        <v>109.96451154767341</v>
      </c>
    </row>
    <row r="70" spans="1:8" ht="26.25" customHeight="1" x14ac:dyDescent="0.4">
      <c r="A70" s="342" t="s">
        <v>82</v>
      </c>
      <c r="B70" s="343"/>
      <c r="C70" s="337"/>
      <c r="D70" s="340"/>
      <c r="E70" s="205">
        <v>3</v>
      </c>
      <c r="F70" s="158">
        <v>42967177</v>
      </c>
      <c r="G70" s="270">
        <f>IF(ISBLANK(F70),"-",(F70/$D$50*$D$47*$B$68)*($B$57/$D$68))</f>
        <v>110.37502469813965</v>
      </c>
      <c r="H70" s="288">
        <f t="shared" si="0"/>
        <v>110.37502469813964</v>
      </c>
    </row>
    <row r="71" spans="1:8" ht="27" customHeight="1" x14ac:dyDescent="0.4">
      <c r="A71" s="344"/>
      <c r="B71" s="345"/>
      <c r="C71" s="338"/>
      <c r="D71" s="341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111.05160945616419</v>
      </c>
      <c r="H72" s="290">
        <f>AVERAGE(H60:H71)</f>
        <v>111.05160945616419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1.1486384850217798E-2</v>
      </c>
      <c r="H73" s="274">
        <f>STDEV(H60:H71)/H72</f>
        <v>1.1486384850217817E-2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23" t="str">
        <f>B26</f>
        <v xml:space="preserve">Doxycycline Hyclate </v>
      </c>
      <c r="D76" s="323"/>
      <c r="E76" s="219" t="s">
        <v>112</v>
      </c>
      <c r="F76" s="219"/>
      <c r="G76" s="303">
        <f>H72</f>
        <v>111.05160945616419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57" t="str">
        <f>B26</f>
        <v xml:space="preserve">Doxycycline Hyclate </v>
      </c>
      <c r="C79" s="357"/>
    </row>
    <row r="80" spans="1:8" ht="26.25" customHeight="1" x14ac:dyDescent="0.4">
      <c r="A80" s="130" t="s">
        <v>52</v>
      </c>
      <c r="B80" s="357" t="str">
        <f>B27</f>
        <v>D23-2</v>
      </c>
      <c r="C80" s="357"/>
    </row>
    <row r="81" spans="1:12" ht="27" customHeight="1" x14ac:dyDescent="0.4">
      <c r="A81" s="130" t="s">
        <v>6</v>
      </c>
      <c r="B81" s="222">
        <f>B28</f>
        <v>98.45</v>
      </c>
    </row>
    <row r="82" spans="1:12" s="14" customFormat="1" ht="27" customHeight="1" x14ac:dyDescent="0.4">
      <c r="A82" s="130" t="s">
        <v>53</v>
      </c>
      <c r="B82" s="132">
        <v>0</v>
      </c>
      <c r="C82" s="325" t="s">
        <v>54</v>
      </c>
      <c r="D82" s="326"/>
      <c r="E82" s="326"/>
      <c r="F82" s="326"/>
      <c r="G82" s="327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98.45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888.88</v>
      </c>
      <c r="C84" s="328" t="s">
        <v>115</v>
      </c>
      <c r="D84" s="329"/>
      <c r="E84" s="329"/>
      <c r="F84" s="329"/>
      <c r="G84" s="329"/>
      <c r="H84" s="330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1025.8699999999999</v>
      </c>
      <c r="C85" s="328" t="s">
        <v>116</v>
      </c>
      <c r="D85" s="329"/>
      <c r="E85" s="329"/>
      <c r="F85" s="329"/>
      <c r="G85" s="329"/>
      <c r="H85" s="330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0.86646456178658127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23" t="s">
        <v>63</v>
      </c>
      <c r="E89" s="224"/>
      <c r="F89" s="331" t="s">
        <v>64</v>
      </c>
      <c r="G89" s="332"/>
    </row>
    <row r="90" spans="1:12" ht="27" customHeight="1" x14ac:dyDescent="0.4">
      <c r="A90" s="145" t="s">
        <v>65</v>
      </c>
      <c r="B90" s="146">
        <v>5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100</v>
      </c>
      <c r="C91" s="227">
        <v>1</v>
      </c>
      <c r="D91" s="153">
        <v>0.38500000000000001</v>
      </c>
      <c r="E91" s="154">
        <f>IF(ISBLANK(D91),"-",$D$101/$D$98*D91)</f>
        <v>0.40886896057148775</v>
      </c>
      <c r="F91" s="358">
        <v>0.37</v>
      </c>
      <c r="G91" s="155">
        <f>IF(ISBLANK(F91),"-",$D$101/$F$98*F91)</f>
        <v>0.40601489874537811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0.376</v>
      </c>
      <c r="E92" s="159">
        <f>IF(ISBLANK(D92),"-",$D$101/$D$98*D92)</f>
        <v>0.39931098486981659</v>
      </c>
      <c r="F92" s="158">
        <v>0.36799999999999999</v>
      </c>
      <c r="G92" s="160">
        <f>IF(ISBLANK(F92),"-",$D$101/$F$98*F92)</f>
        <v>0.40382022361702469</v>
      </c>
      <c r="I92" s="333">
        <f>ABS((F96/D96*D95)-F95)/D95</f>
        <v>6.7445320578231206E-3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0.378</v>
      </c>
      <c r="E93" s="159">
        <f>IF(ISBLANK(D93),"-",$D$101/$D$98*D93)</f>
        <v>0.40143497947018797</v>
      </c>
      <c r="F93" s="158">
        <v>0.372</v>
      </c>
      <c r="G93" s="160">
        <f>IF(ISBLANK(F93),"-",$D$101/$F$98*F93)</f>
        <v>0.40820957387373152</v>
      </c>
      <c r="I93" s="333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0.37966666666666665</v>
      </c>
      <c r="E95" s="169">
        <f>AVERAGE(E91:E94)</f>
        <v>0.4032049749704974</v>
      </c>
      <c r="F95" s="232">
        <f>AVERAGE(F91:F94)</f>
        <v>0.36999999999999994</v>
      </c>
      <c r="G95" s="233">
        <f>AVERAGE(G91:G94)</f>
        <v>0.40601489874537805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24.53</v>
      </c>
      <c r="E96" s="161"/>
      <c r="F96" s="173">
        <v>23.74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21.254375700624838</v>
      </c>
      <c r="E97" s="176"/>
      <c r="F97" s="175">
        <f>F96*$B$87</f>
        <v>20.569868696813437</v>
      </c>
    </row>
    <row r="98" spans="1:10" ht="19.5" customHeight="1" x14ac:dyDescent="0.3">
      <c r="A98" s="145" t="s">
        <v>80</v>
      </c>
      <c r="B98" s="238">
        <f>(B97/B96)*(B95/B94)*(B93/B92)*(B91/B90)*B89</f>
        <v>2000</v>
      </c>
      <c r="C98" s="236" t="s">
        <v>119</v>
      </c>
      <c r="D98" s="239">
        <f>D97*$B$83/100</f>
        <v>20.924932877265157</v>
      </c>
      <c r="E98" s="179"/>
      <c r="F98" s="178">
        <f>F97*$B$83/100</f>
        <v>20.251035732012827</v>
      </c>
    </row>
    <row r="99" spans="1:10" ht="19.5" customHeight="1" x14ac:dyDescent="0.3">
      <c r="A99" s="319" t="s">
        <v>82</v>
      </c>
      <c r="B99" s="334"/>
      <c r="C99" s="236" t="s">
        <v>120</v>
      </c>
      <c r="D99" s="240">
        <f>D98/$B$98</f>
        <v>1.0462466438632578E-2</v>
      </c>
      <c r="E99" s="179"/>
      <c r="F99" s="182">
        <f>F98/$B$98</f>
        <v>1.0125517866006413E-2</v>
      </c>
      <c r="G99" s="241"/>
      <c r="H99" s="171"/>
    </row>
    <row r="100" spans="1:10" ht="19.5" customHeight="1" x14ac:dyDescent="0.3">
      <c r="A100" s="321"/>
      <c r="B100" s="335"/>
      <c r="C100" s="236" t="s">
        <v>84</v>
      </c>
      <c r="D100" s="242">
        <f>$B$56/$B$116</f>
        <v>1.1111111111111112E-2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25.647006470064696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0.40460993685793772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9.36919677291158E-3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5</v>
      </c>
      <c r="C108" s="294">
        <v>1</v>
      </c>
      <c r="D108" s="304">
        <v>0.40699999999999997</v>
      </c>
      <c r="E108" s="271">
        <f t="shared" ref="E108:E113" si="1">IF(ISBLANK(D108),"-",D108/$D$103*$D$100*$B$116)</f>
        <v>100.59070796941437</v>
      </c>
      <c r="F108" s="295">
        <f t="shared" ref="F108:F113" si="2">IF(ISBLANK(D108), "-", (E108/$B$56)*100)</f>
        <v>100.59070796941437</v>
      </c>
    </row>
    <row r="109" spans="1:10" ht="26.25" customHeight="1" x14ac:dyDescent="0.4">
      <c r="A109" s="145" t="s">
        <v>99</v>
      </c>
      <c r="B109" s="146">
        <v>50</v>
      </c>
      <c r="C109" s="292">
        <v>2</v>
      </c>
      <c r="D109" s="305">
        <v>0.42699999999999999</v>
      </c>
      <c r="E109" s="272">
        <f t="shared" si="1"/>
        <v>105.53374030206373</v>
      </c>
      <c r="F109" s="296">
        <f t="shared" si="2"/>
        <v>105.53374030206373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305">
        <v>0.42299999999999999</v>
      </c>
      <c r="E110" s="272">
        <f t="shared" si="1"/>
        <v>104.54513383553386</v>
      </c>
      <c r="F110" s="296">
        <f t="shared" si="2"/>
        <v>104.54513383553386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305">
        <v>0.40899999999999997</v>
      </c>
      <c r="E111" s="272">
        <f t="shared" si="1"/>
        <v>101.08501120267931</v>
      </c>
      <c r="F111" s="296">
        <f t="shared" si="2"/>
        <v>101.08501120267933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305">
        <v>0.41399999999999998</v>
      </c>
      <c r="E112" s="272">
        <f t="shared" si="1"/>
        <v>102.32076928584165</v>
      </c>
      <c r="F112" s="296">
        <f t="shared" si="2"/>
        <v>102.32076928584164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306">
        <v>0.42499999999999999</v>
      </c>
      <c r="E113" s="273">
        <f t="shared" si="1"/>
        <v>105.0394370687988</v>
      </c>
      <c r="F113" s="297">
        <f t="shared" si="2"/>
        <v>105.03943706879882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298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103.18579994405529</v>
      </c>
      <c r="F115" s="299">
        <f>AVERAGE(F108:F113)</f>
        <v>103.1857999440553</v>
      </c>
    </row>
    <row r="116" spans="1:10" ht="27" customHeight="1" x14ac:dyDescent="0.4">
      <c r="A116" s="145" t="s">
        <v>107</v>
      </c>
      <c r="B116" s="177">
        <f>(B115/B114)*(B113/B112)*(B111/B110)*(B109/B108)*B107</f>
        <v>9000</v>
      </c>
      <c r="C116" s="255"/>
      <c r="D116" s="279" t="s">
        <v>88</v>
      </c>
      <c r="E116" s="277">
        <f>STDEV(E108:E113)/E115</f>
        <v>2.0646095271386819E-2</v>
      </c>
      <c r="F116" s="256">
        <f>STDEV(F108:F113)/F115</f>
        <v>2.0646095271386822E-2</v>
      </c>
      <c r="I116" s="119"/>
    </row>
    <row r="117" spans="1:10" ht="27" customHeight="1" x14ac:dyDescent="0.4">
      <c r="A117" s="319" t="s">
        <v>82</v>
      </c>
      <c r="B117" s="320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321"/>
      <c r="B118" s="322"/>
      <c r="C118" s="119"/>
      <c r="D118" s="281"/>
      <c r="E118" s="347" t="s">
        <v>127</v>
      </c>
      <c r="F118" s="348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100.59070796941437</v>
      </c>
      <c r="F119" s="300">
        <f>MIN(F108:F113)</f>
        <v>100.59070796941437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105.53374030206373</v>
      </c>
      <c r="F120" s="301">
        <f>MAX(F108:F113)</f>
        <v>105.53374030206373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23" t="str">
        <f>B26</f>
        <v xml:space="preserve">Doxycycline Hyclate </v>
      </c>
      <c r="D124" s="323"/>
      <c r="E124" s="219" t="s">
        <v>131</v>
      </c>
      <c r="F124" s="219"/>
      <c r="G124" s="302">
        <f>F115</f>
        <v>103.1857999440553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2">
        <f>MIN(F108:F113)</f>
        <v>100.59070796941437</v>
      </c>
      <c r="E125" s="230" t="s">
        <v>134</v>
      </c>
      <c r="F125" s="302">
        <f>MAX(F108:F113)</f>
        <v>105.53374030206373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24" t="s">
        <v>26</v>
      </c>
      <c r="C127" s="324"/>
      <c r="E127" s="225" t="s">
        <v>27</v>
      </c>
      <c r="F127" s="260"/>
      <c r="G127" s="324" t="s">
        <v>28</v>
      </c>
      <c r="H127" s="324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Doxycycline</vt:lpstr>
      <vt:lpstr>Doxycycline!Print_Area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2017-09-28T05:04:53Z</cp:lastPrinted>
  <dcterms:created xsi:type="dcterms:W3CDTF">2005-07-05T10:19:27Z</dcterms:created>
  <dcterms:modified xsi:type="dcterms:W3CDTF">2017-09-28T05:37:48Z</dcterms:modified>
</cp:coreProperties>
</file>