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Doxycycline" sheetId="3" r:id="rId3"/>
  </sheets>
  <definedNames>
    <definedName name="_xlnm.Print_Area" localSheetId="2">Doxycycline!$A$1:$I$129</definedName>
    <definedName name="_xlnm.Print_Area" localSheetId="0">SST!$A$15:$G$61</definedName>
    <definedName name="_xlnm.Print_Area" localSheetId="1">Uniformity!$A$10:$G$52</definedName>
  </definedNames>
  <calcPr calcId="145621"/>
</workbook>
</file>

<file path=xl/calcChain.xml><?xml version="1.0" encoding="utf-8"?>
<calcChain xmlns="http://schemas.openxmlformats.org/spreadsheetml/2006/main">
  <c r="B21" i="1" l="1"/>
  <c r="B57" i="3"/>
  <c r="C124" i="3" l="1"/>
  <c r="B116" i="3"/>
  <c r="D100" i="3"/>
  <c r="B98" i="3"/>
  <c r="F95" i="3"/>
  <c r="D95" i="3"/>
  <c r="B87" i="3"/>
  <c r="D97" i="3" s="1"/>
  <c r="B81" i="3"/>
  <c r="B83" i="3" s="1"/>
  <c r="B80" i="3"/>
  <c r="B79" i="3"/>
  <c r="C76" i="3"/>
  <c r="B68" i="3"/>
  <c r="B69" i="3" s="1"/>
  <c r="C56" i="3"/>
  <c r="B55" i="3"/>
  <c r="B45" i="3"/>
  <c r="D48" i="3" s="1"/>
  <c r="F42" i="3"/>
  <c r="D42" i="3"/>
  <c r="B34" i="3"/>
  <c r="F44" i="3" s="1"/>
  <c r="B30" i="3"/>
  <c r="D43" i="2"/>
  <c r="D47" i="2" s="1"/>
  <c r="C43" i="2"/>
  <c r="B43" i="2"/>
  <c r="C42" i="2"/>
  <c r="B42" i="2"/>
  <c r="D40" i="2"/>
  <c r="E40" i="2" s="1"/>
  <c r="D39" i="2"/>
  <c r="D38" i="2"/>
  <c r="E38" i="2" s="1"/>
  <c r="D37" i="2"/>
  <c r="D36" i="2"/>
  <c r="E36" i="2" s="1"/>
  <c r="D35" i="2"/>
  <c r="D34" i="2"/>
  <c r="E34" i="2" s="1"/>
  <c r="D33" i="2"/>
  <c r="D32" i="2"/>
  <c r="E32" i="2" s="1"/>
  <c r="E31" i="2"/>
  <c r="D31" i="2"/>
  <c r="D30" i="2"/>
  <c r="E30" i="2" s="1"/>
  <c r="E29" i="2"/>
  <c r="D29" i="2"/>
  <c r="D28" i="2"/>
  <c r="E28" i="2" s="1"/>
  <c r="E27" i="2"/>
  <c r="D27" i="2"/>
  <c r="D26" i="2"/>
  <c r="E26" i="2" s="1"/>
  <c r="E25" i="2"/>
  <c r="D25" i="2"/>
  <c r="D24" i="2"/>
  <c r="E24" i="2" s="1"/>
  <c r="E23" i="2"/>
  <c r="D23" i="2"/>
  <c r="D22" i="2"/>
  <c r="E22" i="2" s="1"/>
  <c r="E21" i="2"/>
  <c r="D21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D102" i="3" s="1"/>
  <c r="F97" i="3"/>
  <c r="F98" i="3" s="1"/>
  <c r="I39" i="3"/>
  <c r="F45" i="3"/>
  <c r="D44" i="3"/>
  <c r="D45" i="3" s="1"/>
  <c r="F46" i="3"/>
  <c r="G38" i="3"/>
  <c r="G41" i="3"/>
  <c r="D98" i="3"/>
  <c r="E91" i="3" s="1"/>
  <c r="E37" i="2"/>
  <c r="D42" i="2"/>
  <c r="B47" i="2"/>
  <c r="D49" i="3"/>
  <c r="D48" i="2"/>
  <c r="C47" i="2"/>
  <c r="G40" i="3"/>
  <c r="E33" i="2"/>
  <c r="E35" i="2"/>
  <c r="E39" i="2"/>
  <c r="C48" i="2"/>
  <c r="G39" i="3"/>
  <c r="G91" i="3" l="1"/>
  <c r="G92" i="3"/>
  <c r="F99" i="3"/>
  <c r="G93" i="3"/>
  <c r="G94" i="3"/>
  <c r="D46" i="3"/>
  <c r="E38" i="3"/>
  <c r="E40" i="3"/>
  <c r="E41" i="3"/>
  <c r="E39" i="3"/>
  <c r="G42" i="3"/>
  <c r="E94" i="3"/>
  <c r="D99" i="3"/>
  <c r="E92" i="3"/>
  <c r="E93" i="3"/>
  <c r="G95" i="3" l="1"/>
  <c r="E95" i="3"/>
  <c r="D103" i="3"/>
  <c r="E111" i="3" s="1"/>
  <c r="F111" i="3" s="1"/>
  <c r="D105" i="3"/>
  <c r="E42" i="3"/>
  <c r="D50" i="3"/>
  <c r="D51" i="3" s="1"/>
  <c r="D52" i="3"/>
  <c r="E113" i="3" l="1"/>
  <c r="F113" i="3" s="1"/>
  <c r="D104" i="3"/>
  <c r="E112" i="3"/>
  <c r="F112" i="3" s="1"/>
  <c r="E109" i="3"/>
  <c r="F109" i="3" s="1"/>
  <c r="E108" i="3"/>
  <c r="E110" i="3"/>
  <c r="F110" i="3" s="1"/>
  <c r="G62" i="3"/>
  <c r="H62" i="3" s="1"/>
  <c r="G68" i="3"/>
  <c r="H68" i="3" s="1"/>
  <c r="G67" i="3"/>
  <c r="H67" i="3" s="1"/>
  <c r="G69" i="3"/>
  <c r="H69" i="3" s="1"/>
  <c r="G63" i="3"/>
  <c r="H63" i="3" s="1"/>
  <c r="G70" i="3"/>
  <c r="H70" i="3" s="1"/>
  <c r="G61" i="3"/>
  <c r="H61" i="3" s="1"/>
  <c r="G64" i="3"/>
  <c r="H64" i="3" s="1"/>
  <c r="G71" i="3"/>
  <c r="H71" i="3" s="1"/>
  <c r="G60" i="3"/>
  <c r="H60" i="3" s="1"/>
  <c r="G66" i="3"/>
  <c r="H66" i="3" s="1"/>
  <c r="G65" i="3"/>
  <c r="H65" i="3" s="1"/>
  <c r="E117" i="3" l="1"/>
  <c r="E119" i="3"/>
  <c r="E120" i="3"/>
  <c r="E115" i="3"/>
  <c r="E116" i="3" s="1"/>
  <c r="F108" i="3"/>
  <c r="F125" i="3" s="1"/>
  <c r="G72" i="3"/>
  <c r="G73" i="3" s="1"/>
  <c r="G74" i="3"/>
  <c r="H74" i="3"/>
  <c r="H72" i="3"/>
  <c r="G76" i="3" s="1"/>
  <c r="F119" i="3" l="1"/>
  <c r="D125" i="3"/>
  <c r="F117" i="3"/>
  <c r="F120" i="3"/>
  <c r="F115" i="3"/>
  <c r="G124" i="3" s="1"/>
  <c r="H73" i="3"/>
  <c r="F116" i="3" l="1"/>
</calcChain>
</file>

<file path=xl/sharedStrings.xml><?xml version="1.0" encoding="utf-8"?>
<sst xmlns="http://schemas.openxmlformats.org/spreadsheetml/2006/main" count="242" uniqueCount="141">
  <si>
    <t>HPLC System Suitability Report</t>
  </si>
  <si>
    <t>Analysis Data</t>
  </si>
  <si>
    <t>Assay</t>
  </si>
  <si>
    <t>Sample(s)</t>
  </si>
  <si>
    <t>Reference Substance:</t>
  </si>
  <si>
    <t>DOXY CAPSULES</t>
  </si>
  <si>
    <t>% age Purity:</t>
  </si>
  <si>
    <t>NDQB201709140</t>
  </si>
  <si>
    <t>Weight (mg):</t>
  </si>
  <si>
    <t>Doxycline Hyclate BP</t>
  </si>
  <si>
    <t>Standard Conc (mg/mL):</t>
  </si>
  <si>
    <t>Each capsule contains Doxycline Hyclate BP equivalent to Doxycline 100 mg.</t>
  </si>
  <si>
    <t>2017-09-19 08:10:21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</si>
  <si>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</si>
  <si>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</si>
  <si>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</si>
  <si>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</si>
  <si>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</si>
  <si>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</si>
  <si>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</si>
  <si>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</si>
  <si>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</si>
  <si>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</si>
  <si>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</si>
  <si>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</si>
  <si>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</si>
  <si>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</si>
  <si>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</si>
  <si>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</si>
  <si>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</si>
  <si>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</si>
  <si>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</si>
  <si>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</si>
  <si>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</si>
  <si>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</si>
  <si>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</si>
  <si>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</si>
  <si>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</si>
  <si>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</si>
  <si>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2017-09-27 11:30:58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</si>
  <si>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</si>
  <si>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</si>
  <si>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</si>
  <si>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</si>
  <si>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</si>
  <si>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</si>
  <si>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</si>
  <si>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</si>
  <si>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</si>
  <si>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</si>
  <si>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</si>
  <si>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</si>
  <si>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</si>
  <si>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</si>
  <si>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</si>
  <si>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</si>
  <si>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</si>
  <si>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</si>
  <si>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</si>
  <si>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</si>
  <si>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</si>
  <si>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</si>
  <si>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</si>
  <si>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</si>
  <si>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</si>
  <si>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</si>
  <si>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</si>
  <si>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</si>
  <si>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</si>
  <si>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</si>
  <si>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</si>
  <si>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</si>
  <si>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</si>
  <si>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</si>
  <si>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</si>
  <si>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</si>
  <si>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</si>
  <si>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</si>
  <si>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</si>
  <si>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</si>
  <si>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</si>
  <si>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</si>
  <si>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</si>
  <si>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</si>
  <si>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</si>
  <si>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</si>
  <si>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</si>
  <si>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</si>
  <si>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</si>
  <si>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</si>
  <si>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</si>
  <si>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</si>
  <si>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</si>
  <si>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</si>
  <si>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</si>
  <si>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</si>
  <si>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</si>
  <si>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</si>
  <si>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</si>
  <si>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</si>
  <si>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</si>
  <si>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</si>
  <si>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</si>
  <si>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</si>
  <si>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</si>
  <si>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</si>
  <si>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</si>
  <si>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</si>
  <si>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</si>
  <si>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</si>
  <si>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</si>
  <si>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</si>
  <si>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</si>
  <si>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</si>
  <si>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</si>
  <si>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</si>
  <si>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</si>
  <si>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</si>
  <si>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</si>
  <si>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</si>
  <si>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</si>
  <si>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</si>
  <si>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</si>
  <si>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</si>
  <si>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</si>
  <si>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</si>
  <si>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</si>
  <si>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</si>
  <si>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</si>
  <si>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</si>
  <si>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</si>
  <si>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</si>
  <si>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</si>
  <si>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</si>
  <si>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</si>
  <si>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D23-2</t>
  </si>
  <si>
    <t xml:space="preserve">Doxycycline Hyclate </t>
  </si>
  <si>
    <t>Doxycycline Hyclate</t>
  </si>
  <si>
    <t xml:space="preserve">Doxycycline </t>
  </si>
  <si>
    <t>RUTTO KENNEDY</t>
  </si>
  <si>
    <r>
      <t>The Assymetry of all peaks were below</t>
    </r>
    <r>
      <rPr>
        <b/>
        <sz val="12"/>
        <color rgb="FF000000"/>
        <rFont val="Book Antiqua"/>
        <family val="1"/>
      </rPr>
      <t xml:space="preserve"> 1.5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</si>
</sst>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6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16" xfId="0" applyNumberFormat="1" applyFont="1" applyFill="1" applyBorder="1" applyAlignment="1">
      <alignment horizontal="center"/>
    </xf>
    <xf numFmtId="171" fontId="11" fillId="2" borderId="28" xfId="0" applyNumberFormat="1" applyFont="1" applyFill="1" applyBorder="1" applyAlignment="1">
      <alignment horizontal="right"/>
    </xf>
    <xf numFmtId="0" fontId="11" fillId="2" borderId="53" xfId="0" applyFont="1" applyFill="1" applyBorder="1" applyAlignment="1">
      <alignment horizontal="right"/>
    </xf>
    <xf numFmtId="2" fontId="13" fillId="7" borderId="29" xfId="0" applyNumberFormat="1" applyFont="1" applyFill="1" applyBorder="1" applyAlignment="1">
      <alignment horizontal="center"/>
    </xf>
    <xf numFmtId="0" fontId="11" fillId="2" borderId="31" xfId="0" applyFont="1" applyFill="1" applyBorder="1"/>
    <xf numFmtId="0" fontId="13" fillId="7" borderId="40" xfId="0" applyFont="1" applyFill="1" applyBorder="1" applyAlignment="1">
      <alignment horizontal="center"/>
    </xf>
    <xf numFmtId="0" fontId="13" fillId="7" borderId="59" xfId="0" applyFont="1" applyFill="1" applyBorder="1" applyAlignment="1">
      <alignment horizontal="center"/>
    </xf>
    <xf numFmtId="2" fontId="13" fillId="6" borderId="16" xfId="0" applyNumberFormat="1" applyFont="1" applyFill="1" applyBorder="1" applyAlignment="1">
      <alignment horizontal="center"/>
    </xf>
    <xf numFmtId="2" fontId="13" fillId="7" borderId="19" xfId="0" applyNumberFormat="1" applyFont="1" applyFill="1" applyBorder="1" applyAlignment="1">
      <alignment horizontal="center"/>
    </xf>
    <xf numFmtId="166" fontId="11" fillId="2" borderId="52" xfId="0" applyNumberFormat="1" applyFont="1" applyFill="1" applyBorder="1" applyAlignment="1">
      <alignment horizontal="center"/>
    </xf>
    <xf numFmtId="173" fontId="11" fillId="2" borderId="31" xfId="0" applyNumberFormat="1" applyFont="1" applyFill="1" applyBorder="1" applyAlignment="1">
      <alignment horizontal="center" vertical="center"/>
    </xf>
    <xf numFmtId="173" fontId="11" fillId="2" borderId="53" xfId="0" applyNumberFormat="1" applyFont="1" applyFill="1" applyBorder="1" applyAlignment="1">
      <alignment horizontal="center" vertical="center"/>
    </xf>
    <xf numFmtId="173" fontId="11" fillId="2" borderId="32" xfId="0" applyNumberFormat="1" applyFont="1" applyFill="1" applyBorder="1" applyAlignment="1">
      <alignment horizontal="center" vertical="center"/>
    </xf>
    <xf numFmtId="173" fontId="13" fillId="7" borderId="15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173" fontId="11" fillId="2" borderId="34" xfId="0" applyNumberFormat="1" applyFont="1" applyFill="1" applyBorder="1" applyAlignment="1">
      <alignment horizontal="center"/>
    </xf>
    <xf numFmtId="173" fontId="11" fillId="2" borderId="36" xfId="0" applyNumberFormat="1" applyFont="1" applyFill="1" applyBorder="1" applyAlignment="1">
      <alignment horizontal="center"/>
    </xf>
    <xf numFmtId="173" fontId="11" fillId="2" borderId="54" xfId="0" applyNumberFormat="1" applyFont="1" applyFill="1" applyBorder="1" applyAlignment="1">
      <alignment horizontal="center"/>
    </xf>
    <xf numFmtId="173" fontId="11" fillId="2" borderId="36" xfId="0" applyNumberFormat="1" applyFont="1" applyFill="1" applyBorder="1" applyAlignment="1">
      <alignment horizontal="center"/>
    </xf>
    <xf numFmtId="174" fontId="13" fillId="7" borderId="23" xfId="0" applyNumberFormat="1" applyFont="1" applyFill="1" applyBorder="1" applyAlignment="1">
      <alignment horizontal="center"/>
    </xf>
    <xf numFmtId="174" fontId="13" fillId="6" borderId="16" xfId="0" applyNumberFormat="1" applyFont="1" applyFill="1" applyBorder="1" applyAlignment="1">
      <alignment horizontal="center"/>
    </xf>
    <xf numFmtId="174" fontId="13" fillId="7" borderId="19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0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60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0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52" xfId="0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171" fontId="13" fillId="3" borderId="53" xfId="0" applyNumberFormat="1" applyFont="1" applyFill="1" applyBorder="1" applyAlignment="1" applyProtection="1">
      <alignment horizontal="center"/>
      <protection locked="0"/>
    </xf>
    <xf numFmtId="171" fontId="13" fillId="3" borderId="32" xfId="0" applyNumberFormat="1" applyFont="1" applyFill="1" applyBorder="1" applyAlignment="1" applyProtection="1">
      <alignment horizontal="center"/>
      <protection locked="0"/>
    </xf>
    <xf numFmtId="171" fontId="13" fillId="3" borderId="41" xfId="0" applyNumberFormat="1" applyFont="1" applyFill="1" applyBorder="1" applyAlignment="1" applyProtection="1">
      <alignment horizontal="center"/>
      <protection locked="0"/>
    </xf>
    <xf numFmtId="171" fontId="13" fillId="3" borderId="35" xfId="0" applyNumberFormat="1" applyFont="1" applyFill="1" applyBorder="1" applyAlignment="1" applyProtection="1">
      <alignment horizontal="center"/>
      <protection locked="0"/>
    </xf>
    <xf numFmtId="15" fontId="2" fillId="2" borderId="7" xfId="0" applyNumberFormat="1" applyFont="1" applyFill="1" applyBorder="1"/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25" sqref="B2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04" t="s">
        <v>0</v>
      </c>
      <c r="B15" s="304"/>
      <c r="C15" s="304"/>
      <c r="D15" s="304"/>
      <c r="E15" s="30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136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98.45</v>
      </c>
      <c r="C19" s="10"/>
      <c r="D19" s="10"/>
      <c r="E19" s="10"/>
    </row>
    <row r="20" spans="1:6" ht="16.5" customHeight="1" x14ac:dyDescent="0.3">
      <c r="A20" s="7" t="s">
        <v>8</v>
      </c>
      <c r="B20" s="12">
        <v>16.93</v>
      </c>
      <c r="C20" s="10"/>
      <c r="D20" s="10"/>
      <c r="E20" s="10"/>
    </row>
    <row r="21" spans="1:6" ht="16.5" customHeight="1" x14ac:dyDescent="0.3">
      <c r="A21" s="7" t="s">
        <v>10</v>
      </c>
      <c r="B21" s="13">
        <f>16.93/50</f>
        <v>0.33860000000000001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38225065</v>
      </c>
      <c r="C24" s="18">
        <v>6744.7</v>
      </c>
      <c r="D24" s="19">
        <v>1</v>
      </c>
      <c r="E24" s="20">
        <v>9.5</v>
      </c>
    </row>
    <row r="25" spans="1:6" ht="16.5" customHeight="1" x14ac:dyDescent="0.3">
      <c r="A25" s="17">
        <v>2</v>
      </c>
      <c r="B25" s="18">
        <v>38150959</v>
      </c>
      <c r="C25" s="18">
        <v>6568.5</v>
      </c>
      <c r="D25" s="19">
        <v>1</v>
      </c>
      <c r="E25" s="19">
        <v>9.5</v>
      </c>
    </row>
    <row r="26" spans="1:6" ht="16.5" customHeight="1" x14ac:dyDescent="0.3">
      <c r="A26" s="17">
        <v>3</v>
      </c>
      <c r="B26" s="18">
        <v>38238288</v>
      </c>
      <c r="C26" s="18">
        <v>6734.6</v>
      </c>
      <c r="D26" s="19">
        <v>1</v>
      </c>
      <c r="E26" s="19">
        <v>9.5</v>
      </c>
    </row>
    <row r="27" spans="1:6" ht="16.5" customHeight="1" x14ac:dyDescent="0.3">
      <c r="A27" s="17">
        <v>4</v>
      </c>
      <c r="B27" s="18">
        <v>38219603</v>
      </c>
      <c r="C27" s="18">
        <v>6780.9</v>
      </c>
      <c r="D27" s="19">
        <v>1</v>
      </c>
      <c r="E27" s="19">
        <v>9.5</v>
      </c>
    </row>
    <row r="28" spans="1:6" ht="16.5" customHeight="1" x14ac:dyDescent="0.3">
      <c r="A28" s="17">
        <v>5</v>
      </c>
      <c r="B28" s="18">
        <v>38521049</v>
      </c>
      <c r="C28" s="18">
        <v>6801.5</v>
      </c>
      <c r="D28" s="19">
        <v>1</v>
      </c>
      <c r="E28" s="19">
        <v>9.5</v>
      </c>
    </row>
    <row r="29" spans="1:6" ht="16.5" customHeight="1" x14ac:dyDescent="0.3">
      <c r="A29" s="17">
        <v>6</v>
      </c>
      <c r="B29" s="21">
        <v>38625701</v>
      </c>
      <c r="C29" s="21">
        <v>6820.6</v>
      </c>
      <c r="D29" s="22">
        <v>1</v>
      </c>
      <c r="E29" s="22">
        <v>9.5</v>
      </c>
    </row>
    <row r="30" spans="1:6" ht="16.5" customHeight="1" x14ac:dyDescent="0.3">
      <c r="A30" s="23" t="s">
        <v>18</v>
      </c>
      <c r="B30" s="24">
        <f>AVERAGE(B24:B29)</f>
        <v>38330110.833333336</v>
      </c>
      <c r="C30" s="25">
        <f>AVERAGE(C24:C29)</f>
        <v>6741.8</v>
      </c>
      <c r="D30" s="26">
        <f>AVERAGE(D24:D29)</f>
        <v>1</v>
      </c>
      <c r="E30" s="26">
        <f>AVERAGE(E24:E29)</f>
        <v>9.5</v>
      </c>
    </row>
    <row r="31" spans="1:6" ht="16.5" customHeight="1" x14ac:dyDescent="0.3">
      <c r="A31" s="27" t="s">
        <v>19</v>
      </c>
      <c r="B31" s="28">
        <f>(STDEV(B24:B29)/B30)</f>
        <v>5.0535477722232066E-3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140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05" t="s">
        <v>26</v>
      </c>
      <c r="C59" s="30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139</v>
      </c>
      <c r="C60" s="48"/>
      <c r="E60" s="359">
        <v>43005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opLeftCell="A25" workbookViewId="0">
      <selection activeCell="F20" sqref="F20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08" t="s">
        <v>31</v>
      </c>
      <c r="B8" s="308"/>
      <c r="C8" s="308"/>
      <c r="D8" s="308"/>
      <c r="E8" s="308"/>
      <c r="F8" s="308"/>
      <c r="G8" s="308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09" t="s">
        <v>32</v>
      </c>
      <c r="B10" s="309"/>
      <c r="C10" s="309"/>
      <c r="D10" s="309"/>
      <c r="E10" s="309"/>
      <c r="F10" s="309"/>
      <c r="G10" s="309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06" t="s">
        <v>33</v>
      </c>
      <c r="B11" s="306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06" t="s">
        <v>34</v>
      </c>
      <c r="B12" s="306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06" t="s">
        <v>35</v>
      </c>
      <c r="B13" s="306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06" t="s">
        <v>36</v>
      </c>
      <c r="B14" s="306"/>
      <c r="C14" s="307" t="s">
        <v>11</v>
      </c>
      <c r="D14" s="307"/>
      <c r="E14" s="307"/>
      <c r="F14" s="307"/>
      <c r="G14" s="307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06" t="s">
        <v>37</v>
      </c>
      <c r="B15" s="306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06" t="s">
        <v>38</v>
      </c>
      <c r="B16" s="306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10" t="s">
        <v>1</v>
      </c>
      <c r="B18" s="310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330.78</v>
      </c>
      <c r="C21" s="83">
        <v>62.49</v>
      </c>
      <c r="D21" s="84">
        <f t="shared" ref="D21:D40" si="0">B21-C21</f>
        <v>268.28999999999996</v>
      </c>
      <c r="E21" s="85">
        <f t="shared" ref="E21:E40" si="1">(D21-$D$43)/$D$43</f>
        <v>-2.8025155736608851E-3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329.99</v>
      </c>
      <c r="C22" s="88">
        <v>62.54</v>
      </c>
      <c r="D22" s="89">
        <f t="shared" si="0"/>
        <v>267.45</v>
      </c>
      <c r="E22" s="85">
        <f t="shared" si="1"/>
        <v>-5.9246814647418052E-3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327.14999999999998</v>
      </c>
      <c r="C23" s="88">
        <v>60.96</v>
      </c>
      <c r="D23" s="89">
        <f t="shared" si="0"/>
        <v>266.19</v>
      </c>
      <c r="E23" s="85">
        <f t="shared" si="1"/>
        <v>-1.060793030136329E-2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329.29</v>
      </c>
      <c r="C24" s="88">
        <v>63.06</v>
      </c>
      <c r="D24" s="89">
        <f t="shared" si="0"/>
        <v>266.23</v>
      </c>
      <c r="E24" s="85">
        <f t="shared" si="1"/>
        <v>-1.0459255735121261E-2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333.48</v>
      </c>
      <c r="C25" s="88">
        <v>61.41</v>
      </c>
      <c r="D25" s="89">
        <f t="shared" si="0"/>
        <v>272.07000000000005</v>
      </c>
      <c r="E25" s="85">
        <f t="shared" si="1"/>
        <v>1.1247230936203995E-2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333.5</v>
      </c>
      <c r="C26" s="88">
        <v>61.84</v>
      </c>
      <c r="D26" s="89">
        <f t="shared" si="0"/>
        <v>271.65999999999997</v>
      </c>
      <c r="E26" s="85">
        <f t="shared" si="1"/>
        <v>9.7233166322236719E-3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322.08999999999997</v>
      </c>
      <c r="C27" s="88">
        <v>61.93</v>
      </c>
      <c r="D27" s="89">
        <f t="shared" si="0"/>
        <v>260.15999999999997</v>
      </c>
      <c r="E27" s="85">
        <f t="shared" si="1"/>
        <v>-3.3020621162337817E-2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324.95999999999998</v>
      </c>
      <c r="C28" s="88">
        <v>62.59</v>
      </c>
      <c r="D28" s="89">
        <f t="shared" si="0"/>
        <v>262.37</v>
      </c>
      <c r="E28" s="85">
        <f t="shared" si="1"/>
        <v>-2.4806351377469775E-2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330.34</v>
      </c>
      <c r="C29" s="88">
        <v>61.57</v>
      </c>
      <c r="D29" s="89">
        <f t="shared" si="0"/>
        <v>268.77</v>
      </c>
      <c r="E29" s="85">
        <f t="shared" si="1"/>
        <v>-1.0184207787573814E-3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329.43</v>
      </c>
      <c r="C30" s="88">
        <v>64.099999999999994</v>
      </c>
      <c r="D30" s="89">
        <f t="shared" si="0"/>
        <v>265.33000000000004</v>
      </c>
      <c r="E30" s="85">
        <f t="shared" si="1"/>
        <v>-1.380443347556512E-2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330.56</v>
      </c>
      <c r="C31" s="88">
        <v>63.17</v>
      </c>
      <c r="D31" s="89">
        <f t="shared" si="0"/>
        <v>267.39</v>
      </c>
      <c r="E31" s="85">
        <f t="shared" si="1"/>
        <v>-6.1476933141047432E-3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332.41</v>
      </c>
      <c r="C32" s="88">
        <v>62.7</v>
      </c>
      <c r="D32" s="89">
        <f t="shared" si="0"/>
        <v>269.71000000000004</v>
      </c>
      <c r="E32" s="85">
        <f t="shared" si="1"/>
        <v>2.475431527928717E-3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333.83</v>
      </c>
      <c r="C33" s="88">
        <v>62.69</v>
      </c>
      <c r="D33" s="89">
        <f t="shared" si="0"/>
        <v>271.14</v>
      </c>
      <c r="E33" s="85">
        <f t="shared" si="1"/>
        <v>7.7905472710783508E-3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334.9</v>
      </c>
      <c r="C34" s="88">
        <v>63.06</v>
      </c>
      <c r="D34" s="89">
        <f t="shared" si="0"/>
        <v>271.83999999999997</v>
      </c>
      <c r="E34" s="85">
        <f t="shared" si="1"/>
        <v>1.0392352180312486E-2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337.44</v>
      </c>
      <c r="C35" s="88">
        <v>61.24</v>
      </c>
      <c r="D35" s="89">
        <f t="shared" si="0"/>
        <v>276.2</v>
      </c>
      <c r="E35" s="85">
        <f t="shared" si="1"/>
        <v>2.6597879900685413E-2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330.58</v>
      </c>
      <c r="C36" s="88">
        <v>64.3</v>
      </c>
      <c r="D36" s="89">
        <f t="shared" si="0"/>
        <v>266.27999999999997</v>
      </c>
      <c r="E36" s="85">
        <f t="shared" si="1"/>
        <v>-1.027341252731899E-2</v>
      </c>
      <c r="G36" s="66"/>
      <c r="H36" s="66"/>
    </row>
    <row r="37" spans="1:15" ht="15" x14ac:dyDescent="0.3">
      <c r="A37" s="86">
        <v>17</v>
      </c>
      <c r="B37" s="90">
        <v>340.71</v>
      </c>
      <c r="C37" s="88">
        <v>62.13</v>
      </c>
      <c r="D37" s="89">
        <f t="shared" si="0"/>
        <v>278.58</v>
      </c>
      <c r="E37" s="85">
        <f t="shared" si="1"/>
        <v>3.5444016592081601E-2</v>
      </c>
    </row>
    <row r="38" spans="1:15" ht="15" x14ac:dyDescent="0.3">
      <c r="A38" s="86">
        <v>18</v>
      </c>
      <c r="B38" s="90">
        <v>331.03</v>
      </c>
      <c r="C38" s="88">
        <v>63.64</v>
      </c>
      <c r="D38" s="89">
        <f t="shared" si="0"/>
        <v>267.39</v>
      </c>
      <c r="E38" s="85">
        <f t="shared" si="1"/>
        <v>-6.1476933141047432E-3</v>
      </c>
    </row>
    <row r="39" spans="1:15" ht="15" x14ac:dyDescent="0.3">
      <c r="A39" s="86">
        <v>19</v>
      </c>
      <c r="B39" s="90">
        <v>328.99</v>
      </c>
      <c r="C39" s="88">
        <v>61.85</v>
      </c>
      <c r="D39" s="89">
        <f t="shared" si="0"/>
        <v>267.14</v>
      </c>
      <c r="E39" s="85">
        <f t="shared" si="1"/>
        <v>-7.076909353116949E-3</v>
      </c>
    </row>
    <row r="40" spans="1:15" ht="14.25" customHeight="1" x14ac:dyDescent="0.3">
      <c r="A40" s="91">
        <v>20</v>
      </c>
      <c r="B40" s="92">
        <v>339.7</v>
      </c>
      <c r="C40" s="93">
        <v>63.01</v>
      </c>
      <c r="D40" s="94">
        <f t="shared" si="0"/>
        <v>276.69</v>
      </c>
      <c r="E40" s="95">
        <f t="shared" si="1"/>
        <v>2.8419143337149372E-2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6631.1599999999989</v>
      </c>
      <c r="C42" s="98">
        <f>SUM(C21:C40)</f>
        <v>1250.2800000000002</v>
      </c>
      <c r="D42" s="99">
        <f>SUM(D21:D40)</f>
        <v>5380.8799999999992</v>
      </c>
    </row>
    <row r="43" spans="1:15" ht="15.75" customHeight="1" x14ac:dyDescent="0.3">
      <c r="A43" s="100" t="s">
        <v>47</v>
      </c>
      <c r="B43" s="101">
        <f>AVERAGE(B21:B40)</f>
        <v>331.55799999999994</v>
      </c>
      <c r="C43" s="102">
        <f>AVERAGE(C21:C40)</f>
        <v>62.51400000000001</v>
      </c>
      <c r="D43" s="103">
        <f>AVERAGE(D21:D40)</f>
        <v>269.04399999999998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311">
        <f>D43</f>
        <v>269.04399999999998</v>
      </c>
      <c r="C47" s="107">
        <f>-(IF(D43&gt;300, 7.5%, 10%))</f>
        <v>-0.1</v>
      </c>
      <c r="D47" s="108">
        <f>IF(D43&lt;300, D43*0.9, D43*0.925)</f>
        <v>242.1396</v>
      </c>
    </row>
    <row r="48" spans="1:15" ht="15.75" customHeight="1" x14ac:dyDescent="0.3">
      <c r="B48" s="312"/>
      <c r="C48" s="109">
        <f>+(IF(D43&gt;300, 7.5%, 10%))</f>
        <v>0.1</v>
      </c>
      <c r="D48" s="108">
        <f>IF(D43&lt;300, D43*1.1, D43*1.075)</f>
        <v>295.94839999999999</v>
      </c>
    </row>
    <row r="49" spans="1:7" ht="14.25" customHeight="1" x14ac:dyDescent="0.3">
      <c r="A49" s="110"/>
      <c r="D49" s="111"/>
    </row>
    <row r="50" spans="1:7" ht="15" customHeight="1" x14ac:dyDescent="0.3">
      <c r="B50" s="305" t="s">
        <v>26</v>
      </c>
      <c r="C50" s="305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67" zoomScale="50" zoomScaleNormal="40" zoomScalePageLayoutView="50" workbookViewId="0">
      <selection activeCell="F91" sqref="F91:F9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43" t="s">
        <v>49</v>
      </c>
      <c r="B1" s="343"/>
      <c r="C1" s="343"/>
      <c r="D1" s="343"/>
      <c r="E1" s="343"/>
      <c r="F1" s="343"/>
      <c r="G1" s="343"/>
      <c r="H1" s="343"/>
      <c r="I1" s="343"/>
    </row>
    <row r="2" spans="1:9" ht="18.75" customHeight="1" x14ac:dyDescent="0.25">
      <c r="A2" s="343"/>
      <c r="B2" s="343"/>
      <c r="C2" s="343"/>
      <c r="D2" s="343"/>
      <c r="E2" s="343"/>
      <c r="F2" s="343"/>
      <c r="G2" s="343"/>
      <c r="H2" s="343"/>
      <c r="I2" s="343"/>
    </row>
    <row r="3" spans="1:9" ht="18.75" customHeight="1" x14ac:dyDescent="0.25">
      <c r="A3" s="343"/>
      <c r="B3" s="343"/>
      <c r="C3" s="343"/>
      <c r="D3" s="343"/>
      <c r="E3" s="343"/>
      <c r="F3" s="343"/>
      <c r="G3" s="343"/>
      <c r="H3" s="343"/>
      <c r="I3" s="343"/>
    </row>
    <row r="4" spans="1:9" ht="18.75" customHeight="1" x14ac:dyDescent="0.25">
      <c r="A4" s="343"/>
      <c r="B4" s="343"/>
      <c r="C4" s="343"/>
      <c r="D4" s="343"/>
      <c r="E4" s="343"/>
      <c r="F4" s="343"/>
      <c r="G4" s="343"/>
      <c r="H4" s="343"/>
      <c r="I4" s="343"/>
    </row>
    <row r="5" spans="1:9" ht="18.75" customHeight="1" x14ac:dyDescent="0.25">
      <c r="A5" s="343"/>
      <c r="B5" s="343"/>
      <c r="C5" s="343"/>
      <c r="D5" s="343"/>
      <c r="E5" s="343"/>
      <c r="F5" s="343"/>
      <c r="G5" s="343"/>
      <c r="H5" s="343"/>
      <c r="I5" s="343"/>
    </row>
    <row r="6" spans="1:9" ht="18.75" customHeight="1" x14ac:dyDescent="0.25">
      <c r="A6" s="343"/>
      <c r="B6" s="343"/>
      <c r="C6" s="343"/>
      <c r="D6" s="343"/>
      <c r="E6" s="343"/>
      <c r="F6" s="343"/>
      <c r="G6" s="343"/>
      <c r="H6" s="343"/>
      <c r="I6" s="343"/>
    </row>
    <row r="7" spans="1:9" ht="18.75" customHeight="1" x14ac:dyDescent="0.25">
      <c r="A7" s="343"/>
      <c r="B7" s="343"/>
      <c r="C7" s="343"/>
      <c r="D7" s="343"/>
      <c r="E7" s="343"/>
      <c r="F7" s="343"/>
      <c r="G7" s="343"/>
      <c r="H7" s="343"/>
      <c r="I7" s="343"/>
    </row>
    <row r="8" spans="1:9" x14ac:dyDescent="0.25">
      <c r="A8" s="344" t="s">
        <v>50</v>
      </c>
      <c r="B8" s="344"/>
      <c r="C8" s="344"/>
      <c r="D8" s="344"/>
      <c r="E8" s="344"/>
      <c r="F8" s="344"/>
      <c r="G8" s="344"/>
      <c r="H8" s="344"/>
      <c r="I8" s="344"/>
    </row>
    <row r="9" spans="1:9" x14ac:dyDescent="0.25">
      <c r="A9" s="344"/>
      <c r="B9" s="344"/>
      <c r="C9" s="344"/>
      <c r="D9" s="344"/>
      <c r="E9" s="344"/>
      <c r="F9" s="344"/>
      <c r="G9" s="344"/>
      <c r="H9" s="344"/>
      <c r="I9" s="344"/>
    </row>
    <row r="10" spans="1:9" x14ac:dyDescent="0.25">
      <c r="A10" s="344"/>
      <c r="B10" s="344"/>
      <c r="C10" s="344"/>
      <c r="D10" s="344"/>
      <c r="E10" s="344"/>
      <c r="F10" s="344"/>
      <c r="G10" s="344"/>
      <c r="H10" s="344"/>
      <c r="I10" s="344"/>
    </row>
    <row r="11" spans="1:9" x14ac:dyDescent="0.25">
      <c r="A11" s="344"/>
      <c r="B11" s="344"/>
      <c r="C11" s="344"/>
      <c r="D11" s="344"/>
      <c r="E11" s="344"/>
      <c r="F11" s="344"/>
      <c r="G11" s="344"/>
      <c r="H11" s="344"/>
      <c r="I11" s="344"/>
    </row>
    <row r="12" spans="1:9" x14ac:dyDescent="0.25">
      <c r="A12" s="344"/>
      <c r="B12" s="344"/>
      <c r="C12" s="344"/>
      <c r="D12" s="344"/>
      <c r="E12" s="344"/>
      <c r="F12" s="344"/>
      <c r="G12" s="344"/>
      <c r="H12" s="344"/>
      <c r="I12" s="344"/>
    </row>
    <row r="13" spans="1:9" x14ac:dyDescent="0.25">
      <c r="A13" s="344"/>
      <c r="B13" s="344"/>
      <c r="C13" s="344"/>
      <c r="D13" s="344"/>
      <c r="E13" s="344"/>
      <c r="F13" s="344"/>
      <c r="G13" s="344"/>
      <c r="H13" s="344"/>
      <c r="I13" s="344"/>
    </row>
    <row r="14" spans="1:9" x14ac:dyDescent="0.25">
      <c r="A14" s="344"/>
      <c r="B14" s="344"/>
      <c r="C14" s="344"/>
      <c r="D14" s="344"/>
      <c r="E14" s="344"/>
      <c r="F14" s="344"/>
      <c r="G14" s="344"/>
      <c r="H14" s="344"/>
      <c r="I14" s="344"/>
    </row>
    <row r="15" spans="1:9" ht="19.5" customHeight="1" x14ac:dyDescent="0.3">
      <c r="A15" s="119"/>
    </row>
    <row r="16" spans="1:9" ht="19.5" customHeight="1" x14ac:dyDescent="0.3">
      <c r="A16" s="316" t="s">
        <v>31</v>
      </c>
      <c r="B16" s="317"/>
      <c r="C16" s="317"/>
      <c r="D16" s="317"/>
      <c r="E16" s="317"/>
      <c r="F16" s="317"/>
      <c r="G16" s="317"/>
      <c r="H16" s="318"/>
    </row>
    <row r="17" spans="1:14" ht="20.25" customHeight="1" x14ac:dyDescent="0.25">
      <c r="A17" s="319" t="s">
        <v>51</v>
      </c>
      <c r="B17" s="319"/>
      <c r="C17" s="319"/>
      <c r="D17" s="319"/>
      <c r="E17" s="319"/>
      <c r="F17" s="319"/>
      <c r="G17" s="319"/>
      <c r="H17" s="319"/>
    </row>
    <row r="18" spans="1:14" ht="26.25" customHeight="1" x14ac:dyDescent="0.4">
      <c r="A18" s="121" t="s">
        <v>33</v>
      </c>
      <c r="B18" s="315" t="s">
        <v>5</v>
      </c>
      <c r="C18" s="315"/>
      <c r="D18" s="267"/>
      <c r="E18" s="122"/>
      <c r="F18" s="123"/>
      <c r="G18" s="123"/>
      <c r="H18" s="123"/>
    </row>
    <row r="19" spans="1:14" ht="26.25" customHeight="1" x14ac:dyDescent="0.4">
      <c r="A19" s="121" t="s">
        <v>34</v>
      </c>
      <c r="B19" s="124" t="s">
        <v>7</v>
      </c>
      <c r="C19" s="276">
        <v>1</v>
      </c>
      <c r="D19" s="123"/>
      <c r="E19" s="123"/>
      <c r="F19" s="123"/>
      <c r="G19" s="123"/>
      <c r="H19" s="123"/>
    </row>
    <row r="20" spans="1:14" ht="26.25" customHeight="1" x14ac:dyDescent="0.4">
      <c r="A20" s="121" t="s">
        <v>35</v>
      </c>
      <c r="B20" s="320" t="s">
        <v>138</v>
      </c>
      <c r="C20" s="320"/>
      <c r="D20" s="123"/>
      <c r="E20" s="123"/>
      <c r="F20" s="123"/>
      <c r="G20" s="123"/>
      <c r="H20" s="123"/>
    </row>
    <row r="21" spans="1:14" ht="26.25" customHeight="1" x14ac:dyDescent="0.4">
      <c r="A21" s="121" t="s">
        <v>36</v>
      </c>
      <c r="B21" s="320" t="s">
        <v>11</v>
      </c>
      <c r="C21" s="320"/>
      <c r="D21" s="320"/>
      <c r="E21" s="320"/>
      <c r="F21" s="320"/>
      <c r="G21" s="320"/>
      <c r="H21" s="320"/>
      <c r="I21" s="125"/>
    </row>
    <row r="22" spans="1:14" ht="26.25" customHeight="1" x14ac:dyDescent="0.4">
      <c r="A22" s="121" t="s">
        <v>37</v>
      </c>
      <c r="B22" s="126">
        <v>43004</v>
      </c>
      <c r="C22" s="123"/>
      <c r="D22" s="123"/>
      <c r="E22" s="123"/>
      <c r="F22" s="123"/>
      <c r="G22" s="123"/>
      <c r="H22" s="123"/>
    </row>
    <row r="23" spans="1:14" ht="26.25" customHeight="1" x14ac:dyDescent="0.4">
      <c r="A23" s="121" t="s">
        <v>38</v>
      </c>
      <c r="B23" s="126">
        <v>43005</v>
      </c>
      <c r="C23" s="123"/>
      <c r="D23" s="123"/>
      <c r="E23" s="123"/>
      <c r="F23" s="123"/>
      <c r="G23" s="123"/>
      <c r="H23" s="123"/>
    </row>
    <row r="24" spans="1:14" ht="18.75" x14ac:dyDescent="0.3">
      <c r="A24" s="121"/>
      <c r="B24" s="127"/>
    </row>
    <row r="25" spans="1:14" ht="18.75" x14ac:dyDescent="0.3">
      <c r="A25" s="128" t="s">
        <v>1</v>
      </c>
      <c r="B25" s="127"/>
    </row>
    <row r="26" spans="1:14" ht="26.25" customHeight="1" x14ac:dyDescent="0.4">
      <c r="A26" s="129" t="s">
        <v>4</v>
      </c>
      <c r="B26" s="315" t="s">
        <v>137</v>
      </c>
      <c r="C26" s="315"/>
    </row>
    <row r="27" spans="1:14" ht="26.25" customHeight="1" x14ac:dyDescent="0.4">
      <c r="A27" s="130" t="s">
        <v>52</v>
      </c>
      <c r="B27" s="321" t="s">
        <v>135</v>
      </c>
      <c r="C27" s="321"/>
    </row>
    <row r="28" spans="1:14" ht="27" customHeight="1" x14ac:dyDescent="0.4">
      <c r="A28" s="130" t="s">
        <v>6</v>
      </c>
      <c r="B28" s="131">
        <v>98.45</v>
      </c>
    </row>
    <row r="29" spans="1:14" s="14" customFormat="1" ht="27" customHeight="1" x14ac:dyDescent="0.4">
      <c r="A29" s="130" t="s">
        <v>53</v>
      </c>
      <c r="B29" s="132">
        <v>0</v>
      </c>
      <c r="C29" s="322" t="s">
        <v>54</v>
      </c>
      <c r="D29" s="323"/>
      <c r="E29" s="323"/>
      <c r="F29" s="323"/>
      <c r="G29" s="324"/>
      <c r="I29" s="133"/>
      <c r="J29" s="133"/>
      <c r="K29" s="133"/>
      <c r="L29" s="133"/>
    </row>
    <row r="30" spans="1:14" s="14" customFormat="1" ht="19.5" customHeight="1" x14ac:dyDescent="0.3">
      <c r="A30" s="130" t="s">
        <v>55</v>
      </c>
      <c r="B30" s="134">
        <f>B28-B29</f>
        <v>98.45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4" customFormat="1" ht="27" customHeight="1" x14ac:dyDescent="0.4">
      <c r="A31" s="130" t="s">
        <v>56</v>
      </c>
      <c r="B31" s="137">
        <v>888.88</v>
      </c>
      <c r="C31" s="325" t="s">
        <v>57</v>
      </c>
      <c r="D31" s="326"/>
      <c r="E31" s="326"/>
      <c r="F31" s="326"/>
      <c r="G31" s="326"/>
      <c r="H31" s="327"/>
      <c r="I31" s="133"/>
      <c r="J31" s="133"/>
      <c r="K31" s="133"/>
      <c r="L31" s="133"/>
    </row>
    <row r="32" spans="1:14" s="14" customFormat="1" ht="27" customHeight="1" x14ac:dyDescent="0.4">
      <c r="A32" s="130" t="s">
        <v>58</v>
      </c>
      <c r="B32" s="137">
        <v>1025.8699999999999</v>
      </c>
      <c r="C32" s="325" t="s">
        <v>59</v>
      </c>
      <c r="D32" s="326"/>
      <c r="E32" s="326"/>
      <c r="F32" s="326"/>
      <c r="G32" s="326"/>
      <c r="H32" s="327"/>
      <c r="I32" s="133"/>
      <c r="J32" s="133"/>
      <c r="K32" s="133"/>
      <c r="L32" s="138"/>
      <c r="M32" s="138"/>
      <c r="N32" s="139"/>
    </row>
    <row r="33" spans="1:14" s="14" customFormat="1" ht="17.25" customHeight="1" x14ac:dyDescent="0.3">
      <c r="A33" s="130"/>
      <c r="B33" s="140"/>
      <c r="C33" s="141"/>
      <c r="D33" s="141"/>
      <c r="E33" s="141"/>
      <c r="F33" s="141"/>
      <c r="G33" s="141"/>
      <c r="H33" s="141"/>
      <c r="I33" s="133"/>
      <c r="J33" s="133"/>
      <c r="K33" s="133"/>
      <c r="L33" s="138"/>
      <c r="M33" s="138"/>
      <c r="N33" s="139"/>
    </row>
    <row r="34" spans="1:14" s="14" customFormat="1" ht="18.75" x14ac:dyDescent="0.3">
      <c r="A34" s="130" t="s">
        <v>60</v>
      </c>
      <c r="B34" s="142">
        <f>B31/B32</f>
        <v>0.86646456178658127</v>
      </c>
      <c r="C34" s="120" t="s">
        <v>61</v>
      </c>
      <c r="D34" s="120"/>
      <c r="E34" s="120"/>
      <c r="F34" s="120"/>
      <c r="G34" s="120"/>
      <c r="I34" s="133"/>
      <c r="J34" s="133"/>
      <c r="K34" s="133"/>
      <c r="L34" s="138"/>
      <c r="M34" s="138"/>
      <c r="N34" s="139"/>
    </row>
    <row r="35" spans="1:14" s="14" customFormat="1" ht="19.5" customHeight="1" x14ac:dyDescent="0.3">
      <c r="A35" s="130"/>
      <c r="B35" s="134"/>
      <c r="G35" s="120"/>
      <c r="I35" s="133"/>
      <c r="J35" s="133"/>
      <c r="K35" s="133"/>
      <c r="L35" s="138"/>
      <c r="M35" s="138"/>
      <c r="N35" s="139"/>
    </row>
    <row r="36" spans="1:14" s="14" customFormat="1" ht="27" customHeight="1" x14ac:dyDescent="0.4">
      <c r="A36" s="143" t="s">
        <v>62</v>
      </c>
      <c r="B36" s="144">
        <v>50</v>
      </c>
      <c r="C36" s="120"/>
      <c r="D36" s="328" t="s">
        <v>63</v>
      </c>
      <c r="E36" s="329"/>
      <c r="F36" s="328" t="s">
        <v>64</v>
      </c>
      <c r="G36" s="330"/>
      <c r="J36" s="133"/>
      <c r="K36" s="133"/>
      <c r="L36" s="138"/>
      <c r="M36" s="138"/>
      <c r="N36" s="139"/>
    </row>
    <row r="37" spans="1:14" s="14" customFormat="1" ht="27" customHeight="1" x14ac:dyDescent="0.4">
      <c r="A37" s="145" t="s">
        <v>65</v>
      </c>
      <c r="B37" s="146">
        <v>1</v>
      </c>
      <c r="C37" s="147" t="s">
        <v>66</v>
      </c>
      <c r="D37" s="148" t="s">
        <v>67</v>
      </c>
      <c r="E37" s="149" t="s">
        <v>68</v>
      </c>
      <c r="F37" s="148" t="s">
        <v>67</v>
      </c>
      <c r="G37" s="150" t="s">
        <v>68</v>
      </c>
      <c r="I37" s="151" t="s">
        <v>69</v>
      </c>
      <c r="J37" s="133"/>
      <c r="K37" s="133"/>
      <c r="L37" s="138"/>
      <c r="M37" s="138"/>
      <c r="N37" s="139"/>
    </row>
    <row r="38" spans="1:14" s="14" customFormat="1" ht="26.25" customHeight="1" x14ac:dyDescent="0.4">
      <c r="A38" s="145" t="s">
        <v>70</v>
      </c>
      <c r="B38" s="146">
        <v>1</v>
      </c>
      <c r="C38" s="152">
        <v>1</v>
      </c>
      <c r="D38" s="153">
        <v>38804111</v>
      </c>
      <c r="E38" s="154">
        <f>IF(ISBLANK(D38),"-",$D$48/$D$45*D38)</f>
        <v>40303755.341306098</v>
      </c>
      <c r="F38" s="153">
        <v>40245145</v>
      </c>
      <c r="G38" s="155">
        <f>IF(ISBLANK(F38),"-",$D$48/$F$45*F38)</f>
        <v>40232071.155640796</v>
      </c>
      <c r="I38" s="156"/>
      <c r="J38" s="133"/>
      <c r="K38" s="133"/>
      <c r="L38" s="138"/>
      <c r="M38" s="138"/>
      <c r="N38" s="139"/>
    </row>
    <row r="39" spans="1:14" s="14" customFormat="1" ht="26.25" customHeight="1" x14ac:dyDescent="0.4">
      <c r="A39" s="145" t="s">
        <v>71</v>
      </c>
      <c r="B39" s="146">
        <v>1</v>
      </c>
      <c r="C39" s="157">
        <v>2</v>
      </c>
      <c r="D39" s="158">
        <v>38518355</v>
      </c>
      <c r="E39" s="159">
        <f>IF(ISBLANK(D39),"-",$D$48/$D$45*D39)</f>
        <v>40006955.862732545</v>
      </c>
      <c r="F39" s="158">
        <v>40479145</v>
      </c>
      <c r="G39" s="160">
        <f>IF(ISBLANK(F39),"-",$D$48/$F$45*F39)</f>
        <v>40465995.139525563</v>
      </c>
      <c r="I39" s="332">
        <f>ABS((F43/D43*D42)-F42)/D42</f>
        <v>5.3797211359820751E-3</v>
      </c>
      <c r="J39" s="133"/>
      <c r="K39" s="133"/>
      <c r="L39" s="138"/>
      <c r="M39" s="138"/>
      <c r="N39" s="139"/>
    </row>
    <row r="40" spans="1:14" ht="26.25" customHeight="1" x14ac:dyDescent="0.4">
      <c r="A40" s="145" t="s">
        <v>72</v>
      </c>
      <c r="B40" s="146">
        <v>1</v>
      </c>
      <c r="C40" s="157">
        <v>3</v>
      </c>
      <c r="D40" s="158">
        <v>38465882</v>
      </c>
      <c r="E40" s="159">
        <f>IF(ISBLANK(D40),"-",$D$48/$D$45*D40)</f>
        <v>39952454.963226713</v>
      </c>
      <c r="F40" s="158">
        <v>40200866</v>
      </c>
      <c r="G40" s="160">
        <f>IF(ISBLANK(F40),"-",$D$48/$F$45*F40)</f>
        <v>40187806.539903902</v>
      </c>
      <c r="I40" s="332"/>
      <c r="L40" s="138"/>
      <c r="M40" s="138"/>
      <c r="N40" s="161"/>
    </row>
    <row r="41" spans="1:14" ht="27" customHeight="1" x14ac:dyDescent="0.4">
      <c r="A41" s="145" t="s">
        <v>73</v>
      </c>
      <c r="B41" s="146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I41" s="166"/>
      <c r="L41" s="138"/>
      <c r="M41" s="138"/>
      <c r="N41" s="161"/>
    </row>
    <row r="42" spans="1:14" ht="27" customHeight="1" x14ac:dyDescent="0.4">
      <c r="A42" s="145" t="s">
        <v>74</v>
      </c>
      <c r="B42" s="146">
        <v>1</v>
      </c>
      <c r="C42" s="167" t="s">
        <v>75</v>
      </c>
      <c r="D42" s="168">
        <f>AVERAGE(D38:D41)</f>
        <v>38596116</v>
      </c>
      <c r="E42" s="169">
        <f>AVERAGE(E38:E41)</f>
        <v>40087722.055755116</v>
      </c>
      <c r="F42" s="168">
        <f>AVERAGE(F38:F41)</f>
        <v>40308385.333333336</v>
      </c>
      <c r="G42" s="170">
        <f>AVERAGE(G38:G41)</f>
        <v>40295290.945023417</v>
      </c>
      <c r="H42" s="171"/>
    </row>
    <row r="43" spans="1:14" ht="26.25" customHeight="1" x14ac:dyDescent="0.4">
      <c r="A43" s="145" t="s">
        <v>76</v>
      </c>
      <c r="B43" s="146">
        <v>1</v>
      </c>
      <c r="C43" s="172" t="s">
        <v>77</v>
      </c>
      <c r="D43" s="173">
        <v>16.93</v>
      </c>
      <c r="E43" s="161"/>
      <c r="F43" s="173">
        <v>17.59</v>
      </c>
      <c r="H43" s="171"/>
    </row>
    <row r="44" spans="1:14" ht="26.25" customHeight="1" x14ac:dyDescent="0.4">
      <c r="A44" s="145" t="s">
        <v>78</v>
      </c>
      <c r="B44" s="146">
        <v>1</v>
      </c>
      <c r="C44" s="174" t="s">
        <v>79</v>
      </c>
      <c r="D44" s="175">
        <f>D43*$B$34</f>
        <v>14.66924503104682</v>
      </c>
      <c r="E44" s="176"/>
      <c r="F44" s="175">
        <f>F43*$B$34</f>
        <v>15.241111641825965</v>
      </c>
      <c r="H44" s="171"/>
    </row>
    <row r="45" spans="1:14" ht="19.5" customHeight="1" x14ac:dyDescent="0.3">
      <c r="A45" s="145" t="s">
        <v>80</v>
      </c>
      <c r="B45" s="177">
        <f>(B44/B43)*(B42/B41)*(B40/B39)*(B38/B37)*B36</f>
        <v>50</v>
      </c>
      <c r="C45" s="174" t="s">
        <v>81</v>
      </c>
      <c r="D45" s="178">
        <f>D44*$B$30/100</f>
        <v>14.441871733065595</v>
      </c>
      <c r="E45" s="179"/>
      <c r="F45" s="178">
        <f>F44*$B$30/100</f>
        <v>15.004874411377664</v>
      </c>
      <c r="H45" s="171"/>
    </row>
    <row r="46" spans="1:14" ht="19.5" customHeight="1" x14ac:dyDescent="0.3">
      <c r="A46" s="333" t="s">
        <v>82</v>
      </c>
      <c r="B46" s="334"/>
      <c r="C46" s="174" t="s">
        <v>83</v>
      </c>
      <c r="D46" s="180">
        <f>D45/$B$45</f>
        <v>0.2888374346613119</v>
      </c>
      <c r="E46" s="181"/>
      <c r="F46" s="182">
        <f>F45/$B$45</f>
        <v>0.30009748822755328</v>
      </c>
      <c r="H46" s="171"/>
    </row>
    <row r="47" spans="1:14" ht="27" customHeight="1" x14ac:dyDescent="0.4">
      <c r="A47" s="335"/>
      <c r="B47" s="336"/>
      <c r="C47" s="183" t="s">
        <v>84</v>
      </c>
      <c r="D47" s="184">
        <v>0.3</v>
      </c>
      <c r="E47" s="185"/>
      <c r="F47" s="181"/>
      <c r="H47" s="171"/>
    </row>
    <row r="48" spans="1:14" ht="18.75" x14ac:dyDescent="0.3">
      <c r="C48" s="186" t="s">
        <v>85</v>
      </c>
      <c r="D48" s="178">
        <f>D47*$B$45</f>
        <v>15</v>
      </c>
      <c r="F48" s="187"/>
      <c r="H48" s="171"/>
    </row>
    <row r="49" spans="1:12" ht="19.5" customHeight="1" x14ac:dyDescent="0.3">
      <c r="C49" s="188" t="s">
        <v>86</v>
      </c>
      <c r="D49" s="189">
        <f>D48/B34</f>
        <v>17.311729367293669</v>
      </c>
      <c r="F49" s="187"/>
      <c r="H49" s="171"/>
    </row>
    <row r="50" spans="1:12" ht="18.75" x14ac:dyDescent="0.3">
      <c r="C50" s="143" t="s">
        <v>87</v>
      </c>
      <c r="D50" s="190">
        <f>AVERAGE(E38:E41,G38:G41)</f>
        <v>40191506.50038927</v>
      </c>
      <c r="F50" s="191"/>
      <c r="H50" s="171"/>
    </row>
    <row r="51" spans="1:12" ht="18.75" x14ac:dyDescent="0.3">
      <c r="C51" s="145" t="s">
        <v>88</v>
      </c>
      <c r="D51" s="192">
        <f>STDEV(E38:E41,G38:G41)/D50</f>
        <v>4.7313929587710279E-3</v>
      </c>
      <c r="F51" s="191"/>
      <c r="H51" s="171"/>
    </row>
    <row r="52" spans="1:12" ht="19.5" customHeight="1" x14ac:dyDescent="0.3">
      <c r="C52" s="193" t="s">
        <v>20</v>
      </c>
      <c r="D52" s="194">
        <f>COUNT(E38:E41,G38:G41)</f>
        <v>6</v>
      </c>
      <c r="F52" s="191"/>
    </row>
    <row r="54" spans="1:12" ht="18.75" x14ac:dyDescent="0.3">
      <c r="A54" s="195" t="s">
        <v>1</v>
      </c>
      <c r="B54" s="196" t="s">
        <v>89</v>
      </c>
    </row>
    <row r="55" spans="1:12" ht="18.75" x14ac:dyDescent="0.3">
      <c r="A55" s="120" t="s">
        <v>90</v>
      </c>
      <c r="B55" s="197" t="str">
        <f>B21</f>
        <v>Each capsule contains Doxycline Hyclate BP equivalent to Doxycline 100 mg.</v>
      </c>
    </row>
    <row r="56" spans="1:12" ht="26.25" customHeight="1" x14ac:dyDescent="0.4">
      <c r="A56" s="198" t="s">
        <v>91</v>
      </c>
      <c r="B56" s="199">
        <v>100</v>
      </c>
      <c r="C56" s="120" t="str">
        <f>B20</f>
        <v xml:space="preserve">Doxycycline </v>
      </c>
      <c r="H56" s="200"/>
    </row>
    <row r="57" spans="1:12" ht="18.75" x14ac:dyDescent="0.3">
      <c r="A57" s="197" t="s">
        <v>92</v>
      </c>
      <c r="B57" s="268">
        <f>Uniformity!D43</f>
        <v>269.04399999999998</v>
      </c>
      <c r="H57" s="200"/>
    </row>
    <row r="58" spans="1:12" ht="19.5" customHeight="1" x14ac:dyDescent="0.3">
      <c r="H58" s="200"/>
    </row>
    <row r="59" spans="1:12" s="14" customFormat="1" ht="27" customHeight="1" x14ac:dyDescent="0.4">
      <c r="A59" s="143" t="s">
        <v>93</v>
      </c>
      <c r="B59" s="144">
        <v>100</v>
      </c>
      <c r="C59" s="120"/>
      <c r="D59" s="201" t="s">
        <v>94</v>
      </c>
      <c r="E59" s="202" t="s">
        <v>66</v>
      </c>
      <c r="F59" s="202" t="s">
        <v>67</v>
      </c>
      <c r="G59" s="202" t="s">
        <v>95</v>
      </c>
      <c r="H59" s="147" t="s">
        <v>96</v>
      </c>
      <c r="L59" s="133"/>
    </row>
    <row r="60" spans="1:12" s="14" customFormat="1" ht="26.25" customHeight="1" x14ac:dyDescent="0.4">
      <c r="A60" s="145" t="s">
        <v>97</v>
      </c>
      <c r="B60" s="146">
        <v>5</v>
      </c>
      <c r="C60" s="337" t="s">
        <v>98</v>
      </c>
      <c r="D60" s="340">
        <v>273.33999999999997</v>
      </c>
      <c r="E60" s="203">
        <v>1</v>
      </c>
      <c r="F60" s="204">
        <v>36034820</v>
      </c>
      <c r="G60" s="269">
        <f>IF(ISBLANK(F60),"-",(F60/$D$50*$D$47*$B$68)*($B$57/$D$60))</f>
        <v>105.89840988535332</v>
      </c>
      <c r="H60" s="287">
        <f t="shared" ref="H60:H71" si="0">IF(ISBLANK(F60),"-",(G60/$B$56)*100)</f>
        <v>105.8984098853533</v>
      </c>
      <c r="L60" s="133"/>
    </row>
    <row r="61" spans="1:12" s="14" customFormat="1" ht="26.25" customHeight="1" x14ac:dyDescent="0.4">
      <c r="A61" s="145" t="s">
        <v>99</v>
      </c>
      <c r="B61" s="146">
        <v>20</v>
      </c>
      <c r="C61" s="338"/>
      <c r="D61" s="341"/>
      <c r="E61" s="205">
        <v>2</v>
      </c>
      <c r="F61" s="158">
        <v>35977077</v>
      </c>
      <c r="G61" s="270">
        <f>IF(ISBLANK(F61),"-",(F61/$D$50*$D$47*$B$68)*($B$57/$D$60))</f>
        <v>105.72871590930433</v>
      </c>
      <c r="H61" s="288">
        <f t="shared" si="0"/>
        <v>105.72871590930433</v>
      </c>
      <c r="L61" s="133"/>
    </row>
    <row r="62" spans="1:12" s="14" customFormat="1" ht="26.25" customHeight="1" x14ac:dyDescent="0.4">
      <c r="A62" s="145" t="s">
        <v>100</v>
      </c>
      <c r="B62" s="146">
        <v>1</v>
      </c>
      <c r="C62" s="338"/>
      <c r="D62" s="341"/>
      <c r="E62" s="205">
        <v>3</v>
      </c>
      <c r="F62" s="206">
        <v>36018107</v>
      </c>
      <c r="G62" s="270">
        <f>IF(ISBLANK(F62),"-",(F62/$D$50*$D$47*$B$68)*($B$57/$D$60))</f>
        <v>105.84929405448713</v>
      </c>
      <c r="H62" s="288">
        <f t="shared" si="0"/>
        <v>105.84929405448713</v>
      </c>
      <c r="L62" s="133"/>
    </row>
    <row r="63" spans="1:12" ht="27" customHeight="1" x14ac:dyDescent="0.4">
      <c r="A63" s="145" t="s">
        <v>101</v>
      </c>
      <c r="B63" s="146">
        <v>1</v>
      </c>
      <c r="C63" s="339"/>
      <c r="D63" s="342"/>
      <c r="E63" s="207">
        <v>4</v>
      </c>
      <c r="F63" s="208"/>
      <c r="G63" s="270" t="str">
        <f>IF(ISBLANK(F63),"-",(F63/$D$50*$D$47*$B$68)*($B$57/$D$60))</f>
        <v>-</v>
      </c>
      <c r="H63" s="288" t="str">
        <f t="shared" si="0"/>
        <v>-</v>
      </c>
    </row>
    <row r="64" spans="1:12" ht="26.25" customHeight="1" x14ac:dyDescent="0.4">
      <c r="A64" s="145" t="s">
        <v>102</v>
      </c>
      <c r="B64" s="146">
        <v>1</v>
      </c>
      <c r="C64" s="337" t="s">
        <v>103</v>
      </c>
      <c r="D64" s="340">
        <v>263.95999999999998</v>
      </c>
      <c r="E64" s="203">
        <v>1</v>
      </c>
      <c r="F64" s="204">
        <v>35172762</v>
      </c>
      <c r="G64" s="269">
        <f>IF(ISBLANK(F64),"-",(F64/$D$50*$D$47*$B$68)*($B$57/$D$64))</f>
        <v>107.03815774096915</v>
      </c>
      <c r="H64" s="287">
        <f t="shared" si="0"/>
        <v>107.03815774096917</v>
      </c>
    </row>
    <row r="65" spans="1:8" ht="26.25" customHeight="1" x14ac:dyDescent="0.4">
      <c r="A65" s="145" t="s">
        <v>104</v>
      </c>
      <c r="B65" s="146">
        <v>1</v>
      </c>
      <c r="C65" s="338"/>
      <c r="D65" s="341"/>
      <c r="E65" s="205">
        <v>2</v>
      </c>
      <c r="F65" s="158">
        <v>35125430</v>
      </c>
      <c r="G65" s="270">
        <f>IF(ISBLANK(F65),"-",(F65/$D$50*$D$47*$B$68)*($B$57/$D$64))</f>
        <v>106.89411644895473</v>
      </c>
      <c r="H65" s="288">
        <f t="shared" si="0"/>
        <v>106.89411644895472</v>
      </c>
    </row>
    <row r="66" spans="1:8" ht="26.25" customHeight="1" x14ac:dyDescent="0.4">
      <c r="A66" s="145" t="s">
        <v>105</v>
      </c>
      <c r="B66" s="146">
        <v>1</v>
      </c>
      <c r="C66" s="338"/>
      <c r="D66" s="341"/>
      <c r="E66" s="205">
        <v>3</v>
      </c>
      <c r="F66" s="158">
        <v>35212204</v>
      </c>
      <c r="G66" s="270">
        <f>IF(ISBLANK(F66),"-",(F66/$D$50*$D$47*$B$68)*($B$57/$D$64))</f>
        <v>107.15818809336569</v>
      </c>
      <c r="H66" s="288">
        <f t="shared" si="0"/>
        <v>107.15818809336571</v>
      </c>
    </row>
    <row r="67" spans="1:8" ht="27" customHeight="1" x14ac:dyDescent="0.4">
      <c r="A67" s="145" t="s">
        <v>106</v>
      </c>
      <c r="B67" s="146">
        <v>1</v>
      </c>
      <c r="C67" s="339"/>
      <c r="D67" s="342"/>
      <c r="E67" s="207">
        <v>4</v>
      </c>
      <c r="F67" s="208"/>
      <c r="G67" s="286" t="str">
        <f>IF(ISBLANK(F67),"-",(F67/$D$50*$D$47*$B$68)*($B$57/$D$64))</f>
        <v>-</v>
      </c>
      <c r="H67" s="289" t="str">
        <f t="shared" si="0"/>
        <v>-</v>
      </c>
    </row>
    <row r="68" spans="1:8" ht="26.25" customHeight="1" x14ac:dyDescent="0.4">
      <c r="A68" s="145" t="s">
        <v>107</v>
      </c>
      <c r="B68" s="209">
        <f>(B67/B66)*(B65/B64)*(B63/B62)*(B61/B60)*B59</f>
        <v>400</v>
      </c>
      <c r="C68" s="337" t="s">
        <v>108</v>
      </c>
      <c r="D68" s="340">
        <v>269.26</v>
      </c>
      <c r="E68" s="203">
        <v>1</v>
      </c>
      <c r="F68" s="204">
        <v>35155486</v>
      </c>
      <c r="G68" s="269">
        <f>IF(ISBLANK(F68),"-",(F68/$D$50*$D$47*$B$68)*($B$57/$D$68))</f>
        <v>104.87972422937709</v>
      </c>
      <c r="H68" s="288">
        <f t="shared" si="0"/>
        <v>104.87972422937708</v>
      </c>
    </row>
    <row r="69" spans="1:8" ht="27" customHeight="1" x14ac:dyDescent="0.4">
      <c r="A69" s="193" t="s">
        <v>109</v>
      </c>
      <c r="B69" s="210">
        <f>(D47*B68)/B56*B57</f>
        <v>322.85279999999995</v>
      </c>
      <c r="C69" s="338"/>
      <c r="D69" s="341"/>
      <c r="E69" s="205">
        <v>2</v>
      </c>
      <c r="F69" s="158">
        <v>35440950</v>
      </c>
      <c r="G69" s="270">
        <f>IF(ISBLANK(F69),"-",(F69/$D$50*$D$47*$B$68)*($B$57/$D$68))</f>
        <v>105.73135192689818</v>
      </c>
      <c r="H69" s="288">
        <f t="shared" si="0"/>
        <v>105.73135192689817</v>
      </c>
    </row>
    <row r="70" spans="1:8" ht="26.25" customHeight="1" x14ac:dyDescent="0.4">
      <c r="A70" s="350" t="s">
        <v>82</v>
      </c>
      <c r="B70" s="351"/>
      <c r="C70" s="338"/>
      <c r="D70" s="341"/>
      <c r="E70" s="205">
        <v>3</v>
      </c>
      <c r="F70" s="158">
        <v>35447588</v>
      </c>
      <c r="G70" s="270">
        <f>IF(ISBLANK(F70),"-",(F70/$D$50*$D$47*$B$68)*($B$57/$D$68))</f>
        <v>105.75115514081007</v>
      </c>
      <c r="H70" s="288">
        <f t="shared" si="0"/>
        <v>105.75115514081006</v>
      </c>
    </row>
    <row r="71" spans="1:8" ht="27" customHeight="1" x14ac:dyDescent="0.4">
      <c r="A71" s="352"/>
      <c r="B71" s="353"/>
      <c r="C71" s="349"/>
      <c r="D71" s="342"/>
      <c r="E71" s="207">
        <v>4</v>
      </c>
      <c r="F71" s="208"/>
      <c r="G71" s="286" t="str">
        <f>IF(ISBLANK(F71),"-",(F71/$D$50*$D$47*$B$68)*($B$57/$D$68))</f>
        <v>-</v>
      </c>
      <c r="H71" s="289" t="str">
        <f t="shared" si="0"/>
        <v>-</v>
      </c>
    </row>
    <row r="72" spans="1:8" ht="26.25" customHeight="1" x14ac:dyDescent="0.4">
      <c r="A72" s="211"/>
      <c r="B72" s="211"/>
      <c r="C72" s="211"/>
      <c r="D72" s="211"/>
      <c r="E72" s="211"/>
      <c r="F72" s="213" t="s">
        <v>75</v>
      </c>
      <c r="G72" s="275">
        <f>AVERAGE(G60:G71)</f>
        <v>106.10323482550217</v>
      </c>
      <c r="H72" s="290">
        <f>AVERAGE(H60:H71)</f>
        <v>106.10323482550217</v>
      </c>
    </row>
    <row r="73" spans="1:8" ht="26.25" customHeight="1" x14ac:dyDescent="0.4">
      <c r="C73" s="211"/>
      <c r="D73" s="211"/>
      <c r="E73" s="211"/>
      <c r="F73" s="214" t="s">
        <v>88</v>
      </c>
      <c r="G73" s="274">
        <f>STDEV(G60:G71)/G72</f>
        <v>7.1610057680947786E-3</v>
      </c>
      <c r="H73" s="274">
        <f>STDEV(H60:H71)/H72</f>
        <v>7.1610057680948531E-3</v>
      </c>
    </row>
    <row r="74" spans="1:8" ht="27" customHeight="1" x14ac:dyDescent="0.4">
      <c r="A74" s="211"/>
      <c r="B74" s="211"/>
      <c r="C74" s="212"/>
      <c r="D74" s="212"/>
      <c r="E74" s="215"/>
      <c r="F74" s="216" t="s">
        <v>20</v>
      </c>
      <c r="G74" s="217">
        <f>COUNT(G60:G71)</f>
        <v>9</v>
      </c>
      <c r="H74" s="217">
        <f>COUNT(H60:H71)</f>
        <v>9</v>
      </c>
    </row>
    <row r="76" spans="1:8" ht="26.25" customHeight="1" x14ac:dyDescent="0.4">
      <c r="A76" s="129" t="s">
        <v>110</v>
      </c>
      <c r="B76" s="218" t="s">
        <v>111</v>
      </c>
      <c r="C76" s="345" t="str">
        <f>B26</f>
        <v>Doxycycline Hyclate</v>
      </c>
      <c r="D76" s="345"/>
      <c r="E76" s="219" t="s">
        <v>112</v>
      </c>
      <c r="F76" s="219"/>
      <c r="G76" s="303">
        <f>H72</f>
        <v>106.10323482550217</v>
      </c>
      <c r="H76" s="221"/>
    </row>
    <row r="77" spans="1:8" ht="18.75" x14ac:dyDescent="0.3">
      <c r="A77" s="128" t="s">
        <v>113</v>
      </c>
      <c r="B77" s="128" t="s">
        <v>114</v>
      </c>
    </row>
    <row r="78" spans="1:8" ht="18.75" x14ac:dyDescent="0.3">
      <c r="A78" s="128"/>
      <c r="B78" s="128"/>
    </row>
    <row r="79" spans="1:8" ht="26.25" customHeight="1" x14ac:dyDescent="0.4">
      <c r="A79" s="129" t="s">
        <v>4</v>
      </c>
      <c r="B79" s="331" t="str">
        <f>B26</f>
        <v>Doxycycline Hyclate</v>
      </c>
      <c r="C79" s="331"/>
    </row>
    <row r="80" spans="1:8" ht="26.25" customHeight="1" x14ac:dyDescent="0.4">
      <c r="A80" s="130" t="s">
        <v>52</v>
      </c>
      <c r="B80" s="331" t="str">
        <f>B27</f>
        <v>D23-2</v>
      </c>
      <c r="C80" s="331"/>
    </row>
    <row r="81" spans="1:12" ht="27" customHeight="1" x14ac:dyDescent="0.4">
      <c r="A81" s="130" t="s">
        <v>6</v>
      </c>
      <c r="B81" s="222">
        <f>B28</f>
        <v>98.45</v>
      </c>
    </row>
    <row r="82" spans="1:12" s="14" customFormat="1" ht="27" customHeight="1" x14ac:dyDescent="0.4">
      <c r="A82" s="130" t="s">
        <v>53</v>
      </c>
      <c r="B82" s="132">
        <v>0</v>
      </c>
      <c r="C82" s="322" t="s">
        <v>54</v>
      </c>
      <c r="D82" s="323"/>
      <c r="E82" s="323"/>
      <c r="F82" s="323"/>
      <c r="G82" s="324"/>
      <c r="I82" s="133"/>
      <c r="J82" s="133"/>
      <c r="K82" s="133"/>
      <c r="L82" s="133"/>
    </row>
    <row r="83" spans="1:12" s="14" customFormat="1" ht="19.5" customHeight="1" x14ac:dyDescent="0.3">
      <c r="A83" s="130" t="s">
        <v>55</v>
      </c>
      <c r="B83" s="134">
        <f>B81-B82</f>
        <v>98.45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4" customFormat="1" ht="27" customHeight="1" x14ac:dyDescent="0.4">
      <c r="A84" s="130" t="s">
        <v>56</v>
      </c>
      <c r="B84" s="137">
        <v>888.88</v>
      </c>
      <c r="C84" s="325" t="s">
        <v>115</v>
      </c>
      <c r="D84" s="326"/>
      <c r="E84" s="326"/>
      <c r="F84" s="326"/>
      <c r="G84" s="326"/>
      <c r="H84" s="327"/>
      <c r="I84" s="133"/>
      <c r="J84" s="133"/>
      <c r="K84" s="133"/>
      <c r="L84" s="133"/>
    </row>
    <row r="85" spans="1:12" s="14" customFormat="1" ht="27" customHeight="1" x14ac:dyDescent="0.4">
      <c r="A85" s="130" t="s">
        <v>58</v>
      </c>
      <c r="B85" s="137">
        <v>1025.8699999999999</v>
      </c>
      <c r="C85" s="325" t="s">
        <v>116</v>
      </c>
      <c r="D85" s="326"/>
      <c r="E85" s="326"/>
      <c r="F85" s="326"/>
      <c r="G85" s="326"/>
      <c r="H85" s="327"/>
      <c r="I85" s="133"/>
      <c r="J85" s="133"/>
      <c r="K85" s="133"/>
      <c r="L85" s="133"/>
    </row>
    <row r="86" spans="1:12" s="14" customFormat="1" ht="18.75" x14ac:dyDescent="0.3">
      <c r="A86" s="130"/>
      <c r="B86" s="140"/>
      <c r="C86" s="141"/>
      <c r="D86" s="141"/>
      <c r="E86" s="141"/>
      <c r="F86" s="141"/>
      <c r="G86" s="141"/>
      <c r="H86" s="141"/>
      <c r="I86" s="133"/>
      <c r="J86" s="133"/>
      <c r="K86" s="133"/>
      <c r="L86" s="133"/>
    </row>
    <row r="87" spans="1:12" s="14" customFormat="1" ht="18.75" x14ac:dyDescent="0.3">
      <c r="A87" s="130" t="s">
        <v>60</v>
      </c>
      <c r="B87" s="142">
        <f>B84/B85</f>
        <v>0.86646456178658127</v>
      </c>
      <c r="C87" s="120" t="s">
        <v>61</v>
      </c>
      <c r="D87" s="120"/>
      <c r="E87" s="120"/>
      <c r="F87" s="120"/>
      <c r="G87" s="120"/>
      <c r="I87" s="133"/>
      <c r="J87" s="133"/>
      <c r="K87" s="133"/>
      <c r="L87" s="133"/>
    </row>
    <row r="88" spans="1:12" ht="19.5" customHeight="1" x14ac:dyDescent="0.3">
      <c r="A88" s="128"/>
      <c r="B88" s="128"/>
    </row>
    <row r="89" spans="1:12" ht="27" customHeight="1" x14ac:dyDescent="0.4">
      <c r="A89" s="143" t="s">
        <v>62</v>
      </c>
      <c r="B89" s="144">
        <v>100</v>
      </c>
      <c r="D89" s="223" t="s">
        <v>63</v>
      </c>
      <c r="E89" s="224"/>
      <c r="F89" s="328" t="s">
        <v>64</v>
      </c>
      <c r="G89" s="330"/>
    </row>
    <row r="90" spans="1:12" ht="27" customHeight="1" x14ac:dyDescent="0.4">
      <c r="A90" s="145" t="s">
        <v>65</v>
      </c>
      <c r="B90" s="146">
        <v>5</v>
      </c>
      <c r="C90" s="225" t="s">
        <v>66</v>
      </c>
      <c r="D90" s="148" t="s">
        <v>67</v>
      </c>
      <c r="E90" s="149" t="s">
        <v>68</v>
      </c>
      <c r="F90" s="148" t="s">
        <v>67</v>
      </c>
      <c r="G90" s="226" t="s">
        <v>68</v>
      </c>
      <c r="I90" s="151" t="s">
        <v>69</v>
      </c>
    </row>
    <row r="91" spans="1:12" ht="26.25" customHeight="1" x14ac:dyDescent="0.4">
      <c r="A91" s="145" t="s">
        <v>70</v>
      </c>
      <c r="B91" s="146">
        <v>100</v>
      </c>
      <c r="C91" s="227">
        <v>1</v>
      </c>
      <c r="D91" s="153">
        <v>0.38500000000000001</v>
      </c>
      <c r="E91" s="154">
        <f>IF(ISBLANK(D91),"-",$D$101/$D$98*D91)</f>
        <v>0.40886896057148775</v>
      </c>
      <c r="F91" s="357">
        <v>0.37</v>
      </c>
      <c r="G91" s="155">
        <f>IF(ISBLANK(F91),"-",$D$101/$F$98*F91)</f>
        <v>0.40601489874537811</v>
      </c>
      <c r="I91" s="156"/>
    </row>
    <row r="92" spans="1:12" ht="26.25" customHeight="1" x14ac:dyDescent="0.4">
      <c r="A92" s="145" t="s">
        <v>71</v>
      </c>
      <c r="B92" s="146">
        <v>1</v>
      </c>
      <c r="C92" s="212">
        <v>2</v>
      </c>
      <c r="D92" s="158">
        <v>0.376</v>
      </c>
      <c r="E92" s="159">
        <f>IF(ISBLANK(D92),"-",$D$101/$D$98*D92)</f>
        <v>0.39931098486981659</v>
      </c>
      <c r="F92" s="358">
        <v>0.36799999999999999</v>
      </c>
      <c r="G92" s="160">
        <f>IF(ISBLANK(F92),"-",$D$101/$F$98*F92)</f>
        <v>0.40382022361702469</v>
      </c>
      <c r="I92" s="332">
        <f>ABS((F96/D96*D95)-F95)/D95</f>
        <v>6.7445320578231206E-3</v>
      </c>
    </row>
    <row r="93" spans="1:12" ht="26.25" customHeight="1" x14ac:dyDescent="0.4">
      <c r="A93" s="145" t="s">
        <v>72</v>
      </c>
      <c r="B93" s="146">
        <v>1</v>
      </c>
      <c r="C93" s="212">
        <v>3</v>
      </c>
      <c r="D93" s="158">
        <v>0.378</v>
      </c>
      <c r="E93" s="159">
        <f>IF(ISBLANK(D93),"-",$D$101/$D$98*D93)</f>
        <v>0.40143497947018797</v>
      </c>
      <c r="F93" s="358">
        <v>0.372</v>
      </c>
      <c r="G93" s="160">
        <f>IF(ISBLANK(F93),"-",$D$101/$F$98*F93)</f>
        <v>0.40820957387373152</v>
      </c>
      <c r="I93" s="332"/>
    </row>
    <row r="94" spans="1:12" ht="27" customHeight="1" x14ac:dyDescent="0.4">
      <c r="A94" s="145" t="s">
        <v>73</v>
      </c>
      <c r="B94" s="146">
        <v>1</v>
      </c>
      <c r="C94" s="228">
        <v>4</v>
      </c>
      <c r="D94" s="163"/>
      <c r="E94" s="164" t="str">
        <f>IF(ISBLANK(D94),"-",$D$101/$D$98*D94)</f>
        <v>-</v>
      </c>
      <c r="F94" s="229"/>
      <c r="G94" s="165" t="str">
        <f>IF(ISBLANK(F94),"-",$D$101/$F$98*F94)</f>
        <v>-</v>
      </c>
      <c r="I94" s="166"/>
    </row>
    <row r="95" spans="1:12" ht="27" customHeight="1" x14ac:dyDescent="0.4">
      <c r="A95" s="145" t="s">
        <v>74</v>
      </c>
      <c r="B95" s="146">
        <v>1</v>
      </c>
      <c r="C95" s="230" t="s">
        <v>75</v>
      </c>
      <c r="D95" s="231">
        <f>AVERAGE(D91:D94)</f>
        <v>0.37966666666666665</v>
      </c>
      <c r="E95" s="169">
        <f>AVERAGE(E91:E94)</f>
        <v>0.4032049749704974</v>
      </c>
      <c r="F95" s="232">
        <f>AVERAGE(F91:F94)</f>
        <v>0.36999999999999994</v>
      </c>
      <c r="G95" s="233">
        <f>AVERAGE(G91:G94)</f>
        <v>0.40601489874537805</v>
      </c>
    </row>
    <row r="96" spans="1:12" ht="26.25" customHeight="1" x14ac:dyDescent="0.4">
      <c r="A96" s="145" t="s">
        <v>76</v>
      </c>
      <c r="B96" s="131">
        <v>1</v>
      </c>
      <c r="C96" s="234" t="s">
        <v>117</v>
      </c>
      <c r="D96" s="235">
        <v>24.53</v>
      </c>
      <c r="E96" s="161"/>
      <c r="F96" s="173">
        <v>23.74</v>
      </c>
    </row>
    <row r="97" spans="1:10" ht="26.25" customHeight="1" x14ac:dyDescent="0.4">
      <c r="A97" s="145" t="s">
        <v>78</v>
      </c>
      <c r="B97" s="131">
        <v>1</v>
      </c>
      <c r="C97" s="236" t="s">
        <v>118</v>
      </c>
      <c r="D97" s="237">
        <f>D96*$B$87</f>
        <v>21.254375700624838</v>
      </c>
      <c r="E97" s="176"/>
      <c r="F97" s="175">
        <f>F96*$B$87</f>
        <v>20.569868696813437</v>
      </c>
    </row>
    <row r="98" spans="1:10" ht="19.5" customHeight="1" x14ac:dyDescent="0.3">
      <c r="A98" s="145" t="s">
        <v>80</v>
      </c>
      <c r="B98" s="238">
        <f>(B97/B96)*(B95/B94)*(B93/B92)*(B91/B90)*B89</f>
        <v>2000</v>
      </c>
      <c r="C98" s="236" t="s">
        <v>119</v>
      </c>
      <c r="D98" s="239">
        <f>D97*$B$83/100</f>
        <v>20.924932877265157</v>
      </c>
      <c r="E98" s="179"/>
      <c r="F98" s="178">
        <f>F97*$B$83/100</f>
        <v>20.251035732012827</v>
      </c>
    </row>
    <row r="99" spans="1:10" ht="19.5" customHeight="1" x14ac:dyDescent="0.3">
      <c r="A99" s="333" t="s">
        <v>82</v>
      </c>
      <c r="B99" s="347"/>
      <c r="C99" s="236" t="s">
        <v>120</v>
      </c>
      <c r="D99" s="240">
        <f>D98/$B$98</f>
        <v>1.0462466438632578E-2</v>
      </c>
      <c r="E99" s="179"/>
      <c r="F99" s="182">
        <f>F98/$B$98</f>
        <v>1.0125517866006413E-2</v>
      </c>
      <c r="G99" s="241"/>
      <c r="H99" s="171"/>
    </row>
    <row r="100" spans="1:10" ht="19.5" customHeight="1" x14ac:dyDescent="0.3">
      <c r="A100" s="335"/>
      <c r="B100" s="348"/>
      <c r="C100" s="236" t="s">
        <v>84</v>
      </c>
      <c r="D100" s="242">
        <f>$B$56/$B$116</f>
        <v>1.1111111111111112E-2</v>
      </c>
      <c r="F100" s="187"/>
      <c r="G100" s="243"/>
      <c r="H100" s="171"/>
    </row>
    <row r="101" spans="1:10" ht="18.75" x14ac:dyDescent="0.3">
      <c r="C101" s="236" t="s">
        <v>85</v>
      </c>
      <c r="D101" s="237">
        <f>D100*$B$98</f>
        <v>22.222222222222221</v>
      </c>
      <c r="F101" s="187"/>
      <c r="G101" s="241"/>
      <c r="H101" s="171"/>
    </row>
    <row r="102" spans="1:10" ht="19.5" customHeight="1" x14ac:dyDescent="0.3">
      <c r="C102" s="244" t="s">
        <v>86</v>
      </c>
      <c r="D102" s="245">
        <f>D101/B34</f>
        <v>25.647006470064696</v>
      </c>
      <c r="F102" s="191"/>
      <c r="G102" s="241"/>
      <c r="H102" s="171"/>
      <c r="J102" s="246"/>
    </row>
    <row r="103" spans="1:10" ht="18.75" x14ac:dyDescent="0.3">
      <c r="C103" s="247" t="s">
        <v>121</v>
      </c>
      <c r="D103" s="248">
        <f>AVERAGE(E91:E94,G91:G94)</f>
        <v>0.40460993685793772</v>
      </c>
      <c r="F103" s="191"/>
      <c r="G103" s="249"/>
      <c r="H103" s="171"/>
      <c r="J103" s="250"/>
    </row>
    <row r="104" spans="1:10" ht="18.75" x14ac:dyDescent="0.3">
      <c r="C104" s="214" t="s">
        <v>88</v>
      </c>
      <c r="D104" s="251">
        <f>STDEV(E91:E94,G91:G94)/D103</f>
        <v>9.36919677291158E-3</v>
      </c>
      <c r="F104" s="191"/>
      <c r="G104" s="241"/>
      <c r="H104" s="171"/>
      <c r="J104" s="250"/>
    </row>
    <row r="105" spans="1:10" ht="19.5" customHeight="1" x14ac:dyDescent="0.3">
      <c r="C105" s="216" t="s">
        <v>20</v>
      </c>
      <c r="D105" s="252">
        <f>COUNT(E91:E94,G91:G94)</f>
        <v>6</v>
      </c>
      <c r="F105" s="191"/>
      <c r="G105" s="241"/>
      <c r="H105" s="171"/>
      <c r="J105" s="250"/>
    </row>
    <row r="106" spans="1:10" ht="19.5" customHeight="1" x14ac:dyDescent="0.3">
      <c r="A106" s="195"/>
      <c r="B106" s="195"/>
      <c r="C106" s="195"/>
      <c r="D106" s="195"/>
      <c r="E106" s="195"/>
    </row>
    <row r="107" spans="1:10" ht="27" customHeight="1" x14ac:dyDescent="0.4">
      <c r="A107" s="143" t="s">
        <v>122</v>
      </c>
      <c r="B107" s="144">
        <v>900</v>
      </c>
      <c r="C107" s="291" t="s">
        <v>123</v>
      </c>
      <c r="D107" s="291" t="s">
        <v>67</v>
      </c>
      <c r="E107" s="291" t="s">
        <v>124</v>
      </c>
      <c r="F107" s="253" t="s">
        <v>125</v>
      </c>
    </row>
    <row r="108" spans="1:10" ht="26.25" customHeight="1" x14ac:dyDescent="0.4">
      <c r="A108" s="145" t="s">
        <v>126</v>
      </c>
      <c r="B108" s="146">
        <v>5</v>
      </c>
      <c r="C108" s="294">
        <v>1</v>
      </c>
      <c r="D108" s="354">
        <v>0.41499999999999998</v>
      </c>
      <c r="E108" s="271">
        <f t="shared" ref="E108:E113" si="1">IF(ISBLANK(D108),"-",D108/$D$103*$D$100*$B$116)</f>
        <v>102.56792090247411</v>
      </c>
      <c r="F108" s="295">
        <f t="shared" ref="F108:F113" si="2">IF(ISBLANK(D108), "-", (E108/$B$56)*100)</f>
        <v>102.56792090247411</v>
      </c>
    </row>
    <row r="109" spans="1:10" ht="26.25" customHeight="1" x14ac:dyDescent="0.4">
      <c r="A109" s="145" t="s">
        <v>99</v>
      </c>
      <c r="B109" s="146">
        <v>50</v>
      </c>
      <c r="C109" s="292">
        <v>2</v>
      </c>
      <c r="D109" s="355">
        <v>0.42899999999999999</v>
      </c>
      <c r="E109" s="272">
        <f t="shared" si="1"/>
        <v>106.02804353532868</v>
      </c>
      <c r="F109" s="296">
        <f t="shared" si="2"/>
        <v>106.02804353532869</v>
      </c>
    </row>
    <row r="110" spans="1:10" ht="26.25" customHeight="1" x14ac:dyDescent="0.4">
      <c r="A110" s="145" t="s">
        <v>100</v>
      </c>
      <c r="B110" s="146">
        <v>1</v>
      </c>
      <c r="C110" s="292">
        <v>3</v>
      </c>
      <c r="D110" s="355">
        <v>0.42599999999999999</v>
      </c>
      <c r="E110" s="272">
        <f t="shared" si="1"/>
        <v>105.28658868543127</v>
      </c>
      <c r="F110" s="296">
        <f t="shared" si="2"/>
        <v>105.28658868543125</v>
      </c>
    </row>
    <row r="111" spans="1:10" ht="26.25" customHeight="1" x14ac:dyDescent="0.4">
      <c r="A111" s="145" t="s">
        <v>101</v>
      </c>
      <c r="B111" s="146">
        <v>1</v>
      </c>
      <c r="C111" s="292">
        <v>4</v>
      </c>
      <c r="D111" s="355">
        <v>0.41899999999999998</v>
      </c>
      <c r="E111" s="272">
        <f t="shared" si="1"/>
        <v>103.55652736900399</v>
      </c>
      <c r="F111" s="296">
        <f t="shared" si="2"/>
        <v>103.55652736900399</v>
      </c>
    </row>
    <row r="112" spans="1:10" ht="26.25" customHeight="1" x14ac:dyDescent="0.4">
      <c r="A112" s="145" t="s">
        <v>102</v>
      </c>
      <c r="B112" s="146">
        <v>1</v>
      </c>
      <c r="C112" s="292">
        <v>5</v>
      </c>
      <c r="D112" s="355">
        <v>0.42799999999999999</v>
      </c>
      <c r="E112" s="272">
        <f t="shared" si="1"/>
        <v>105.78089191869621</v>
      </c>
      <c r="F112" s="296">
        <f t="shared" si="2"/>
        <v>105.78089191869621</v>
      </c>
    </row>
    <row r="113" spans="1:10" ht="27" customHeight="1" x14ac:dyDescent="0.4">
      <c r="A113" s="145" t="s">
        <v>104</v>
      </c>
      <c r="B113" s="146">
        <v>1</v>
      </c>
      <c r="C113" s="293">
        <v>6</v>
      </c>
      <c r="D113" s="356">
        <v>0.42499999999999999</v>
      </c>
      <c r="E113" s="273">
        <f t="shared" si="1"/>
        <v>105.0394370687988</v>
      </c>
      <c r="F113" s="297">
        <f t="shared" si="2"/>
        <v>105.03943706879882</v>
      </c>
    </row>
    <row r="114" spans="1:10" ht="27" customHeight="1" x14ac:dyDescent="0.4">
      <c r="A114" s="145" t="s">
        <v>105</v>
      </c>
      <c r="B114" s="146">
        <v>1</v>
      </c>
      <c r="C114" s="254"/>
      <c r="D114" s="212"/>
      <c r="E114" s="119"/>
      <c r="F114" s="298"/>
    </row>
    <row r="115" spans="1:10" ht="26.25" customHeight="1" x14ac:dyDescent="0.4">
      <c r="A115" s="145" t="s">
        <v>106</v>
      </c>
      <c r="B115" s="146">
        <v>1</v>
      </c>
      <c r="C115" s="254"/>
      <c r="D115" s="278" t="s">
        <v>75</v>
      </c>
      <c r="E115" s="280">
        <f>AVERAGE(E108:E113)</f>
        <v>104.7099015799555</v>
      </c>
      <c r="F115" s="299">
        <f>AVERAGE(F108:F113)</f>
        <v>104.70990157995551</v>
      </c>
    </row>
    <row r="116" spans="1:10" ht="27" customHeight="1" x14ac:dyDescent="0.4">
      <c r="A116" s="145" t="s">
        <v>107</v>
      </c>
      <c r="B116" s="177">
        <f>(B115/B114)*(B113/B112)*(B111/B110)*(B109/B108)*B107</f>
        <v>9000</v>
      </c>
      <c r="C116" s="255"/>
      <c r="D116" s="279" t="s">
        <v>88</v>
      </c>
      <c r="E116" s="277">
        <f>STDEV(E108:E113)/E115</f>
        <v>1.2985479802220527E-2</v>
      </c>
      <c r="F116" s="256">
        <f>STDEV(F108:F113)/F115</f>
        <v>1.2985479802220546E-2</v>
      </c>
      <c r="I116" s="119"/>
    </row>
    <row r="117" spans="1:10" ht="27" customHeight="1" x14ac:dyDescent="0.4">
      <c r="A117" s="333" t="s">
        <v>82</v>
      </c>
      <c r="B117" s="334"/>
      <c r="C117" s="257"/>
      <c r="D117" s="216" t="s">
        <v>20</v>
      </c>
      <c r="E117" s="282">
        <f>COUNT(E108:E113)</f>
        <v>6</v>
      </c>
      <c r="F117" s="283">
        <f>COUNT(F108:F113)</f>
        <v>6</v>
      </c>
      <c r="I117" s="119"/>
      <c r="J117" s="250"/>
    </row>
    <row r="118" spans="1:10" ht="26.25" customHeight="1" x14ac:dyDescent="0.3">
      <c r="A118" s="335"/>
      <c r="B118" s="336"/>
      <c r="C118" s="119"/>
      <c r="D118" s="281"/>
      <c r="E118" s="313" t="s">
        <v>127</v>
      </c>
      <c r="F118" s="314"/>
      <c r="G118" s="119"/>
      <c r="H118" s="119"/>
      <c r="I118" s="119"/>
    </row>
    <row r="119" spans="1:10" ht="25.5" customHeight="1" x14ac:dyDescent="0.4">
      <c r="A119" s="266"/>
      <c r="B119" s="141"/>
      <c r="C119" s="119"/>
      <c r="D119" s="279" t="s">
        <v>128</v>
      </c>
      <c r="E119" s="284">
        <f>MIN(E108:E113)</f>
        <v>102.56792090247411</v>
      </c>
      <c r="F119" s="300">
        <f>MIN(F108:F113)</f>
        <v>102.56792090247411</v>
      </c>
      <c r="G119" s="119"/>
      <c r="H119" s="119"/>
      <c r="I119" s="119"/>
    </row>
    <row r="120" spans="1:10" ht="24" customHeight="1" x14ac:dyDescent="0.4">
      <c r="A120" s="266"/>
      <c r="B120" s="141"/>
      <c r="C120" s="119"/>
      <c r="D120" s="188" t="s">
        <v>129</v>
      </c>
      <c r="E120" s="285">
        <f>MAX(E108:E113)</f>
        <v>106.02804353532868</v>
      </c>
      <c r="F120" s="301">
        <f>MAX(F108:F113)</f>
        <v>106.02804353532869</v>
      </c>
      <c r="G120" s="119"/>
      <c r="H120" s="119"/>
      <c r="I120" s="119"/>
    </row>
    <row r="121" spans="1:10" ht="27" customHeight="1" x14ac:dyDescent="0.3">
      <c r="A121" s="266"/>
      <c r="B121" s="141"/>
      <c r="C121" s="119"/>
      <c r="D121" s="119"/>
      <c r="E121" s="119"/>
      <c r="F121" s="212"/>
      <c r="G121" s="119"/>
      <c r="H121" s="119"/>
      <c r="I121" s="119"/>
    </row>
    <row r="122" spans="1:10" ht="25.5" customHeight="1" x14ac:dyDescent="0.3">
      <c r="A122" s="266"/>
      <c r="B122" s="141"/>
      <c r="C122" s="119"/>
      <c r="D122" s="119"/>
      <c r="E122" s="119"/>
      <c r="F122" s="212"/>
      <c r="G122" s="119"/>
      <c r="H122" s="119"/>
      <c r="I122" s="119"/>
    </row>
    <row r="123" spans="1:10" ht="18.75" x14ac:dyDescent="0.3">
      <c r="A123" s="266"/>
      <c r="B123" s="141"/>
      <c r="C123" s="119"/>
      <c r="D123" s="119"/>
      <c r="E123" s="119"/>
      <c r="F123" s="212"/>
      <c r="G123" s="119"/>
      <c r="H123" s="119"/>
      <c r="I123" s="119"/>
    </row>
    <row r="124" spans="1:10" ht="45.75" customHeight="1" x14ac:dyDescent="0.65">
      <c r="A124" s="129" t="s">
        <v>110</v>
      </c>
      <c r="B124" s="218" t="s">
        <v>130</v>
      </c>
      <c r="C124" s="345" t="str">
        <f>B26</f>
        <v>Doxycycline Hyclate</v>
      </c>
      <c r="D124" s="345"/>
      <c r="E124" s="219" t="s">
        <v>131</v>
      </c>
      <c r="F124" s="219"/>
      <c r="G124" s="302">
        <f>F115</f>
        <v>104.70990157995551</v>
      </c>
      <c r="H124" s="119"/>
      <c r="I124" s="119"/>
    </row>
    <row r="125" spans="1:10" ht="45.75" customHeight="1" x14ac:dyDescent="0.65">
      <c r="A125" s="129"/>
      <c r="B125" s="218" t="s">
        <v>132</v>
      </c>
      <c r="C125" s="130" t="s">
        <v>133</v>
      </c>
      <c r="D125" s="302">
        <f>MIN(F108:F113)</f>
        <v>102.56792090247411</v>
      </c>
      <c r="E125" s="230" t="s">
        <v>134</v>
      </c>
      <c r="F125" s="302">
        <f>MAX(F108:F113)</f>
        <v>106.02804353532869</v>
      </c>
      <c r="G125" s="220"/>
      <c r="H125" s="119"/>
      <c r="I125" s="119"/>
    </row>
    <row r="126" spans="1:10" ht="19.5" customHeight="1" x14ac:dyDescent="0.3">
      <c r="A126" s="258"/>
      <c r="B126" s="258"/>
      <c r="C126" s="259"/>
      <c r="D126" s="259"/>
      <c r="E126" s="259"/>
      <c r="F126" s="259"/>
      <c r="G126" s="259"/>
      <c r="H126" s="259"/>
    </row>
    <row r="127" spans="1:10" ht="18.75" x14ac:dyDescent="0.3">
      <c r="B127" s="346" t="s">
        <v>26</v>
      </c>
      <c r="C127" s="346"/>
      <c r="E127" s="225" t="s">
        <v>27</v>
      </c>
      <c r="F127" s="260"/>
      <c r="G127" s="346" t="s">
        <v>28</v>
      </c>
      <c r="H127" s="346"/>
    </row>
    <row r="128" spans="1:10" ht="69.95" customHeight="1" x14ac:dyDescent="0.3">
      <c r="A128" s="261" t="s">
        <v>29</v>
      </c>
      <c r="B128" s="262"/>
      <c r="C128" s="262"/>
      <c r="E128" s="262"/>
      <c r="F128" s="119"/>
      <c r="G128" s="263"/>
      <c r="H128" s="263"/>
    </row>
    <row r="129" spans="1:9" ht="69.95" customHeight="1" x14ac:dyDescent="0.3">
      <c r="A129" s="261" t="s">
        <v>30</v>
      </c>
      <c r="B129" s="264"/>
      <c r="C129" s="264"/>
      <c r="E129" s="264"/>
      <c r="F129" s="119"/>
      <c r="G129" s="265"/>
      <c r="H129" s="265"/>
    </row>
    <row r="130" spans="1:9" ht="18.75" x14ac:dyDescent="0.3">
      <c r="A130" s="211"/>
      <c r="B130" s="211"/>
      <c r="C130" s="212"/>
      <c r="D130" s="212"/>
      <c r="E130" s="212"/>
      <c r="F130" s="215"/>
      <c r="G130" s="212"/>
      <c r="H130" s="212"/>
      <c r="I130" s="119"/>
    </row>
    <row r="131" spans="1:9" ht="18.75" x14ac:dyDescent="0.3">
      <c r="A131" s="211"/>
      <c r="B131" s="211"/>
      <c r="C131" s="212"/>
      <c r="D131" s="212"/>
      <c r="E131" s="212"/>
      <c r="F131" s="215"/>
      <c r="G131" s="212"/>
      <c r="H131" s="212"/>
      <c r="I131" s="119"/>
    </row>
    <row r="132" spans="1:9" ht="18.75" x14ac:dyDescent="0.3">
      <c r="A132" s="211"/>
      <c r="B132" s="211"/>
      <c r="C132" s="212"/>
      <c r="D132" s="212"/>
      <c r="E132" s="212"/>
      <c r="F132" s="215"/>
      <c r="G132" s="212"/>
      <c r="H132" s="212"/>
      <c r="I132" s="119"/>
    </row>
    <row r="133" spans="1:9" ht="18.75" x14ac:dyDescent="0.3">
      <c r="A133" s="211"/>
      <c r="B133" s="211"/>
      <c r="C133" s="212"/>
      <c r="D133" s="212"/>
      <c r="E133" s="212"/>
      <c r="F133" s="215"/>
      <c r="G133" s="212"/>
      <c r="H133" s="212"/>
      <c r="I133" s="119"/>
    </row>
    <row r="134" spans="1:9" ht="18.75" x14ac:dyDescent="0.3">
      <c r="A134" s="211"/>
      <c r="B134" s="211"/>
      <c r="C134" s="212"/>
      <c r="D134" s="212"/>
      <c r="E134" s="212"/>
      <c r="F134" s="215"/>
      <c r="G134" s="212"/>
      <c r="H134" s="212"/>
      <c r="I134" s="119"/>
    </row>
    <row r="135" spans="1:9" ht="18.75" x14ac:dyDescent="0.3">
      <c r="A135" s="211"/>
      <c r="B135" s="211"/>
      <c r="C135" s="212"/>
      <c r="D135" s="212"/>
      <c r="E135" s="212"/>
      <c r="F135" s="215"/>
      <c r="G135" s="212"/>
      <c r="H135" s="212"/>
      <c r="I135" s="119"/>
    </row>
    <row r="136" spans="1:9" ht="18.75" x14ac:dyDescent="0.3">
      <c r="A136" s="211"/>
      <c r="B136" s="211"/>
      <c r="C136" s="212"/>
      <c r="D136" s="212"/>
      <c r="E136" s="212"/>
      <c r="F136" s="215"/>
      <c r="G136" s="212"/>
      <c r="H136" s="212"/>
      <c r="I136" s="119"/>
    </row>
    <row r="137" spans="1:9" ht="18.75" x14ac:dyDescent="0.3">
      <c r="A137" s="211"/>
      <c r="B137" s="211"/>
      <c r="C137" s="212"/>
      <c r="D137" s="212"/>
      <c r="E137" s="212"/>
      <c r="F137" s="215"/>
      <c r="G137" s="212"/>
      <c r="H137" s="212"/>
      <c r="I137" s="119"/>
    </row>
    <row r="138" spans="1:9" ht="18.75" x14ac:dyDescent="0.3">
      <c r="A138" s="211"/>
      <c r="B138" s="211"/>
      <c r="C138" s="212"/>
      <c r="D138" s="212"/>
      <c r="E138" s="212"/>
      <c r="F138" s="215"/>
      <c r="G138" s="212"/>
      <c r="H138" s="212"/>
      <c r="I138" s="119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Doxycycline</vt:lpstr>
      <vt:lpstr>Doxycycline!Print_Area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2017-09-27T09:10:48Z</cp:lastPrinted>
  <dcterms:created xsi:type="dcterms:W3CDTF">2005-07-05T10:19:27Z</dcterms:created>
  <dcterms:modified xsi:type="dcterms:W3CDTF">2017-09-27T10:01:04Z</dcterms:modified>
</cp:coreProperties>
</file>