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Apr\"/>
    </mc:Choice>
  </mc:AlternateContent>
  <bookViews>
    <workbookView xWindow="0" yWindow="0" windowWidth="20490" windowHeight="7650"/>
  </bookViews>
  <sheets>
    <sheet name="SST" sheetId="1" r:id="rId1"/>
    <sheet name="Uniformity" sheetId="2" r:id="rId2"/>
    <sheet name="Raltegravir" sheetId="3" r:id="rId3"/>
  </sheets>
  <definedNames>
    <definedName name="_xlnm.Print_Area" localSheetId="2">Raltegravir!$A$1:$I$129</definedName>
    <definedName name="_xlnm.Print_Area" localSheetId="0">SST!$A$15:$G$61</definedName>
    <definedName name="_xlnm.Print_Area" localSheetId="1">Uniformity!$A$12:$F$54</definedName>
  </definedNames>
  <calcPr calcId="162913"/>
</workbook>
</file>

<file path=xl/calcChain.xml><?xml version="1.0" encoding="utf-8"?>
<calcChain xmlns="http://schemas.openxmlformats.org/spreadsheetml/2006/main">
  <c r="B21" i="1" l="1"/>
  <c r="B42" i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C46" i="2"/>
  <c r="B57" i="3" s="1"/>
  <c r="C45" i="2"/>
  <c r="D40" i="2"/>
  <c r="D35" i="2"/>
  <c r="D30" i="2"/>
  <c r="D26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C49" i="2" l="1"/>
  <c r="D27" i="2"/>
  <c r="D31" i="2"/>
  <c r="D36" i="2"/>
  <c r="D41" i="2"/>
  <c r="D24" i="2"/>
  <c r="D28" i="2"/>
  <c r="D32" i="2"/>
  <c r="D37" i="2"/>
  <c r="D43" i="2"/>
  <c r="D49" i="2"/>
  <c r="B69" i="3"/>
  <c r="D25" i="2"/>
  <c r="D29" i="2"/>
  <c r="D33" i="2"/>
  <c r="D39" i="2"/>
  <c r="I92" i="3"/>
  <c r="D101" i="3"/>
  <c r="D102" i="3" s="1"/>
  <c r="F46" i="3"/>
  <c r="I39" i="3"/>
  <c r="E41" i="3"/>
  <c r="G39" i="3"/>
  <c r="G40" i="3"/>
  <c r="D49" i="3"/>
  <c r="G38" i="3"/>
  <c r="G41" i="3"/>
  <c r="F98" i="3"/>
  <c r="F99" i="3" s="1"/>
  <c r="C50" i="2"/>
  <c r="D97" i="3"/>
  <c r="D98" i="3" s="1"/>
  <c r="D99" i="3" s="1"/>
  <c r="D34" i="2"/>
  <c r="D38" i="2"/>
  <c r="D42" i="2"/>
  <c r="B49" i="2"/>
  <c r="D50" i="2"/>
  <c r="D44" i="3"/>
  <c r="D45" i="3" s="1"/>
  <c r="D46" i="3" s="1"/>
  <c r="E40" i="3" l="1"/>
  <c r="E38" i="3"/>
  <c r="G92" i="3"/>
  <c r="E93" i="3"/>
  <c r="G42" i="3"/>
  <c r="G93" i="3"/>
  <c r="E91" i="3"/>
  <c r="E39" i="3"/>
  <c r="E92" i="3"/>
  <c r="E94" i="3"/>
  <c r="G91" i="3"/>
  <c r="G94" i="3"/>
  <c r="D52" i="3" l="1"/>
  <c r="G95" i="3"/>
  <c r="E42" i="3"/>
  <c r="D50" i="3"/>
  <c r="D51" i="3" s="1"/>
  <c r="D103" i="3"/>
  <c r="E95" i="3"/>
  <c r="D105" i="3"/>
  <c r="G70" i="3"/>
  <c r="H70" i="3" s="1"/>
  <c r="G67" i="3"/>
  <c r="H67" i="3" s="1"/>
  <c r="G63" i="3"/>
  <c r="H63" i="3" s="1"/>
  <c r="G71" i="3"/>
  <c r="H71" i="3" s="1"/>
  <c r="G64" i="3" l="1"/>
  <c r="H64" i="3" s="1"/>
  <c r="G60" i="3"/>
  <c r="H60" i="3" s="1"/>
  <c r="G68" i="3"/>
  <c r="H68" i="3" s="1"/>
  <c r="G62" i="3"/>
  <c r="H62" i="3" s="1"/>
  <c r="G66" i="3"/>
  <c r="H66" i="3" s="1"/>
  <c r="G61" i="3"/>
  <c r="H61" i="3" s="1"/>
  <c r="G69" i="3"/>
  <c r="H69" i="3" s="1"/>
  <c r="G65" i="3"/>
  <c r="H65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E120" i="3"/>
  <c r="E117" i="3"/>
  <c r="F108" i="3"/>
  <c r="E115" i="3"/>
  <c r="E116" i="3" s="1"/>
  <c r="E119" i="3"/>
  <c r="H74" i="3"/>
  <c r="H72" i="3"/>
  <c r="F125" i="3" l="1"/>
  <c r="F120" i="3"/>
  <c r="F117" i="3"/>
  <c r="D125" i="3"/>
  <c r="F115" i="3"/>
  <c r="F119" i="3"/>
  <c r="G76" i="3"/>
  <c r="H73" i="3"/>
  <c r="G124" i="3" l="1"/>
  <c r="F116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<sst xmlns="http://schemas.openxmlformats.org/spreadsheetml/2006/main" count="239" uniqueCount="134">
  <si>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</si>
  <si>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</si>
  <si>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</si>
  <si>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</si>
  <si>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</si>
  <si>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ISENTRESS TABLETS</t>
  </si>
  <si>
    <t>% age Purity:</t>
  </si>
  <si>
    <t>NDQB201709150</t>
  </si>
  <si>
    <t>Weight (mg):</t>
  </si>
  <si>
    <t>Raltegravir</t>
  </si>
  <si>
    <t>Standard Conc (mg/mL):</t>
  </si>
  <si>
    <t>Each film coated tablet contains Raltegravir 400 mg</t>
  </si>
  <si>
    <t>2017-09-26 08:59:39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</si>
  <si>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</si>
  <si>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</si>
  <si>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</si>
  <si>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</si>
  <si>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</si>
  <si>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</si>
  <si>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</si>
  <si>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</si>
  <si>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</si>
  <si>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</si>
  <si>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</si>
  <si>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</si>
  <si>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</si>
  <si>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</si>
  <si>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</si>
  <si>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</si>
  <si>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</si>
  <si>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</si>
  <si>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</si>
  <si>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</si>
  <si>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</si>
  <si>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</si>
  <si>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</si>
  <si>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</si>
  <si>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</si>
  <si>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</si>
  <si>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</si>
  <si>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</si>
  <si>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</si>
  <si>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</si>
  <si>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</si>
  <si>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</si>
  <si>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</si>
  <si>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</si>
  <si>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</si>
  <si>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</si>
  <si>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</si>
  <si>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</si>
  <si>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</si>
  <si>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</si>
  <si>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</si>
  <si>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</si>
  <si>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</si>
  <si>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</si>
  <si>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</si>
  <si>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</si>
  <si>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</si>
  <si>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</si>
  <si>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</si>
  <si>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</si>
  <si>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</si>
  <si>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</si>
  <si>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</si>
  <si>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</si>
  <si>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</si>
  <si>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</si>
  <si>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</si>
  <si>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</si>
  <si>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</si>
  <si>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</si>
  <si>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</si>
  <si>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</si>
  <si>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</si>
  <si>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</si>
  <si>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</si>
  <si>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</si>
  <si>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</si>
  <si>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</si>
  <si>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</si>
  <si>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</si>
  <si>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</si>
  <si>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</si>
  <si>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</si>
  <si>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</si>
  <si>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</si>
  <si>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</si>
  <si>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</si>
  <si>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</si>
  <si>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</si>
  <si>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</si>
  <si>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</si>
  <si>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</si>
  <si>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</si>
  <si>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</si>
  <si>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</si>
  <si>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</si>
  <si>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</si>
  <si>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</si>
  <si>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</si>
  <si>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</si>
  <si>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</si>
  <si>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</si>
  <si>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</si>
  <si>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</si>
  <si>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</si>
  <si>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</si>
  <si>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</si>
  <si>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</si>
  <si>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</si>
  <si>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</si>
  <si>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</si>
  <si>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</si>
  <si>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</si>
  <si>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</si>
  <si>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</si>
  <si>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</si>
  <si>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</si>
  <si>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</si>
  <si>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</si>
  <si>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</si>
  <si>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</si>
  <si>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</si>
  <si>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</si>
  <si>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</si>
  <si>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</si>
  <si>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</si>
  <si>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</si>
  <si>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</si>
  <si>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RUTTO KENNEDY</t>
  </si>
  <si>
    <t>NQCL-PRS-R22-1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</si>
  <si>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3.0%.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</si>
</sst>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6" workbookViewId="0">
      <selection activeCell="D52" sqref="D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99.1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10.039999999999999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10.04/50</f>
        <v>0.20079999999999998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74095095</v>
      </c>
      <c r="C24" s="19">
        <v>12662.6</v>
      </c>
      <c r="D24" s="19">
        <v>1.04</v>
      </c>
      <c r="E24" s="20">
        <v>15.32</v>
      </c>
    </row>
    <row r="25" spans="1:6" ht="16.5" customHeight="1" x14ac:dyDescent="0.3">
      <c r="A25" s="17">
        <v>2</v>
      </c>
      <c r="B25" s="18">
        <v>74077701</v>
      </c>
      <c r="C25" s="18">
        <v>12659.54</v>
      </c>
      <c r="D25" s="19">
        <v>1.04</v>
      </c>
      <c r="E25" s="19">
        <v>15.31</v>
      </c>
    </row>
    <row r="26" spans="1:6" ht="16.5" customHeight="1" x14ac:dyDescent="0.3">
      <c r="A26" s="17">
        <v>3</v>
      </c>
      <c r="B26" s="18">
        <v>74353258</v>
      </c>
      <c r="C26" s="18">
        <v>12685.89</v>
      </c>
      <c r="D26" s="19">
        <v>1.04</v>
      </c>
      <c r="E26" s="19">
        <v>15.31</v>
      </c>
    </row>
    <row r="27" spans="1:6" ht="16.5" customHeight="1" x14ac:dyDescent="0.3">
      <c r="A27" s="17">
        <v>4</v>
      </c>
      <c r="B27" s="18">
        <v>74355452</v>
      </c>
      <c r="C27" s="18">
        <v>12664.17</v>
      </c>
      <c r="D27" s="19">
        <v>1.04</v>
      </c>
      <c r="E27" s="19">
        <v>15.3</v>
      </c>
    </row>
    <row r="28" spans="1:6" ht="16.5" customHeight="1" x14ac:dyDescent="0.3">
      <c r="A28" s="17">
        <v>5</v>
      </c>
      <c r="B28" s="18">
        <v>74516559</v>
      </c>
      <c r="C28" s="18">
        <v>12547.48</v>
      </c>
      <c r="D28" s="19">
        <v>1.05</v>
      </c>
      <c r="E28" s="19">
        <v>15.31</v>
      </c>
    </row>
    <row r="29" spans="1:6" ht="16.5" customHeight="1" x14ac:dyDescent="0.3">
      <c r="A29" s="17">
        <v>6</v>
      </c>
      <c r="B29" s="21">
        <v>74207251</v>
      </c>
      <c r="C29" s="21">
        <v>12685.77</v>
      </c>
      <c r="D29" s="22">
        <v>1.04</v>
      </c>
      <c r="E29" s="22">
        <v>15.31</v>
      </c>
    </row>
    <row r="30" spans="1:6" ht="16.5" customHeight="1" x14ac:dyDescent="0.3">
      <c r="A30" s="23" t="s">
        <v>18</v>
      </c>
      <c r="B30" s="24">
        <f>AVERAGE(B24:B29)</f>
        <v>74267552.666666672</v>
      </c>
      <c r="C30" s="25">
        <f>AVERAGE(C24:C29)</f>
        <v>12650.908333333333</v>
      </c>
      <c r="D30" s="26">
        <f>AVERAGE(D24:D29)</f>
        <v>1.0416666666666667</v>
      </c>
      <c r="E30" s="26">
        <f>AVERAGE(E24:E29)</f>
        <v>15.310000000000002</v>
      </c>
    </row>
    <row r="31" spans="1:6" ht="16.5" customHeight="1" x14ac:dyDescent="0.3">
      <c r="A31" s="27" t="s">
        <v>19</v>
      </c>
      <c r="B31" s="28">
        <f>(STDEV(B24:B29)/B30)</f>
        <v>2.3047876007808842E-3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10.78</v>
      </c>
      <c r="C41" s="10"/>
      <c r="D41" s="10"/>
      <c r="E41" s="10"/>
    </row>
    <row r="42" spans="1:6" ht="16.5" customHeight="1" x14ac:dyDescent="0.3">
      <c r="A42" s="7" t="s">
        <v>10</v>
      </c>
      <c r="B42" s="13">
        <f>10.78/25</f>
        <v>0.43119999999999997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13763395</v>
      </c>
      <c r="C45" s="18">
        <v>3711.53</v>
      </c>
      <c r="D45" s="19">
        <v>1.2</v>
      </c>
      <c r="E45" s="20">
        <v>1.42</v>
      </c>
    </row>
    <row r="46" spans="1:6" ht="16.5" customHeight="1" x14ac:dyDescent="0.3">
      <c r="A46" s="17">
        <v>2</v>
      </c>
      <c r="B46" s="18">
        <v>13743785</v>
      </c>
      <c r="C46" s="18">
        <v>3684.83</v>
      </c>
      <c r="D46" s="19">
        <v>1.28</v>
      </c>
      <c r="E46" s="19">
        <v>1.41</v>
      </c>
    </row>
    <row r="47" spans="1:6" ht="16.5" customHeight="1" x14ac:dyDescent="0.3">
      <c r="A47" s="17">
        <v>3</v>
      </c>
      <c r="B47" s="18">
        <v>13714316</v>
      </c>
      <c r="C47" s="19">
        <v>3707.7</v>
      </c>
      <c r="D47" s="19">
        <v>1.19</v>
      </c>
      <c r="E47" s="19">
        <v>1.42</v>
      </c>
    </row>
    <row r="48" spans="1:6" ht="16.5" customHeight="1" x14ac:dyDescent="0.3">
      <c r="A48" s="17">
        <v>4</v>
      </c>
      <c r="B48" s="18">
        <v>13721435</v>
      </c>
      <c r="C48" s="18">
        <v>3684.28</v>
      </c>
      <c r="D48" s="19">
        <v>1.27</v>
      </c>
      <c r="E48" s="19">
        <v>1.41</v>
      </c>
    </row>
    <row r="49" spans="1:7" ht="16.5" customHeight="1" x14ac:dyDescent="0.3">
      <c r="A49" s="17">
        <v>5</v>
      </c>
      <c r="B49" s="18">
        <v>13777104</v>
      </c>
      <c r="C49" s="18">
        <v>3710.97</v>
      </c>
      <c r="D49" s="19">
        <v>1.19</v>
      </c>
      <c r="E49" s="19">
        <v>1.42</v>
      </c>
    </row>
    <row r="50" spans="1:7" ht="16.5" customHeight="1" x14ac:dyDescent="0.3">
      <c r="A50" s="17">
        <v>6</v>
      </c>
      <c r="B50" s="21">
        <v>13729763</v>
      </c>
      <c r="C50" s="21">
        <v>3672.71</v>
      </c>
      <c r="D50" s="22">
        <v>1.26</v>
      </c>
      <c r="E50" s="22">
        <v>1.41</v>
      </c>
    </row>
    <row r="51" spans="1:7" ht="16.5" customHeight="1" x14ac:dyDescent="0.3">
      <c r="A51" s="23" t="s">
        <v>18</v>
      </c>
      <c r="B51" s="24">
        <f>AVERAGE(B45:B50)</f>
        <v>13741633</v>
      </c>
      <c r="C51" s="25">
        <f>AVERAGE(C45:C50)</f>
        <v>3695.3366666666666</v>
      </c>
      <c r="D51" s="26">
        <f>AVERAGE(D45:D50)</f>
        <v>1.2316666666666665</v>
      </c>
      <c r="E51" s="26">
        <f>AVERAGE(E45:E50)</f>
        <v>1.415</v>
      </c>
    </row>
    <row r="52" spans="1:7" ht="16.5" customHeight="1" x14ac:dyDescent="0.3">
      <c r="A52" s="27" t="s">
        <v>19</v>
      </c>
      <c r="B52" s="28">
        <f>(STDEV(B45:B50)/B51)</f>
        <v>1.791860360908128E-3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133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131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A39" sqref="A3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895.05</v>
      </c>
      <c r="D24" s="87">
        <f t="shared" ref="D24:D43" si="0">(C24-$C$46)/$C$46</f>
        <v>3.1021582862817243E-3</v>
      </c>
      <c r="E24" s="53"/>
    </row>
    <row r="25" spans="1:5" ht="15.75" customHeight="1" x14ac:dyDescent="0.3">
      <c r="C25" s="95">
        <v>896.3</v>
      </c>
      <c r="D25" s="88">
        <f t="shared" si="0"/>
        <v>4.5030606915751181E-3</v>
      </c>
      <c r="E25" s="53"/>
    </row>
    <row r="26" spans="1:5" ht="15.75" customHeight="1" x14ac:dyDescent="0.3">
      <c r="C26" s="95">
        <v>886.39</v>
      </c>
      <c r="D26" s="88">
        <f t="shared" si="0"/>
        <v>-6.6032935775908732E-3</v>
      </c>
      <c r="E26" s="53"/>
    </row>
    <row r="27" spans="1:5" ht="15.75" customHeight="1" x14ac:dyDescent="0.3">
      <c r="C27" s="95">
        <v>898.28</v>
      </c>
      <c r="D27" s="88">
        <f t="shared" si="0"/>
        <v>6.7220901015598742E-3</v>
      </c>
      <c r="E27" s="53"/>
    </row>
    <row r="28" spans="1:5" ht="15.75" customHeight="1" x14ac:dyDescent="0.3">
      <c r="C28" s="95">
        <v>899.05</v>
      </c>
      <c r="D28" s="88">
        <f t="shared" si="0"/>
        <v>7.5850459832205843E-3</v>
      </c>
      <c r="E28" s="53"/>
    </row>
    <row r="29" spans="1:5" ht="15.75" customHeight="1" x14ac:dyDescent="0.3">
      <c r="C29" s="95">
        <v>916.46</v>
      </c>
      <c r="D29" s="88">
        <f t="shared" si="0"/>
        <v>2.7096814684147066E-2</v>
      </c>
      <c r="E29" s="53"/>
    </row>
    <row r="30" spans="1:5" ht="15.75" customHeight="1" x14ac:dyDescent="0.3">
      <c r="C30" s="95">
        <v>898.78</v>
      </c>
      <c r="D30" s="88">
        <f t="shared" si="0"/>
        <v>7.2824510636772316E-3</v>
      </c>
      <c r="E30" s="53"/>
    </row>
    <row r="31" spans="1:5" ht="15.75" customHeight="1" x14ac:dyDescent="0.3">
      <c r="C31" s="95">
        <v>898.03</v>
      </c>
      <c r="D31" s="88">
        <f t="shared" si="0"/>
        <v>6.4419096205011956E-3</v>
      </c>
      <c r="E31" s="53"/>
    </row>
    <row r="32" spans="1:5" ht="15.75" customHeight="1" x14ac:dyDescent="0.3">
      <c r="C32" s="95">
        <v>883.21</v>
      </c>
      <c r="D32" s="88">
        <f t="shared" si="0"/>
        <v>-1.0167189296657211E-2</v>
      </c>
      <c r="E32" s="53"/>
    </row>
    <row r="33" spans="1:7" ht="15.75" customHeight="1" x14ac:dyDescent="0.3">
      <c r="C33" s="95">
        <v>901.74</v>
      </c>
      <c r="D33" s="88">
        <f t="shared" si="0"/>
        <v>1.059978795941203E-2</v>
      </c>
      <c r="E33" s="53"/>
    </row>
    <row r="34" spans="1:7" ht="15.75" customHeight="1" x14ac:dyDescent="0.3">
      <c r="C34" s="95">
        <v>884.41</v>
      </c>
      <c r="D34" s="88">
        <f t="shared" si="0"/>
        <v>-8.8223229875756294E-3</v>
      </c>
      <c r="E34" s="53"/>
    </row>
    <row r="35" spans="1:7" ht="15.75" customHeight="1" x14ac:dyDescent="0.3">
      <c r="C35" s="95">
        <v>886.76</v>
      </c>
      <c r="D35" s="88">
        <f t="shared" si="0"/>
        <v>-6.1886264656240237E-3</v>
      </c>
      <c r="E35" s="53"/>
    </row>
    <row r="36" spans="1:7" ht="15.75" customHeight="1" x14ac:dyDescent="0.3">
      <c r="C36" s="95">
        <v>889.32</v>
      </c>
      <c r="D36" s="88">
        <f t="shared" si="0"/>
        <v>-3.3195783395830866E-3</v>
      </c>
      <c r="E36" s="53"/>
    </row>
    <row r="37" spans="1:7" ht="15.75" customHeight="1" x14ac:dyDescent="0.3">
      <c r="C37" s="95">
        <v>890.52</v>
      </c>
      <c r="D37" s="88">
        <f t="shared" si="0"/>
        <v>-1.974712030501505E-3</v>
      </c>
      <c r="E37" s="53"/>
    </row>
    <row r="38" spans="1:7" ht="15.75" customHeight="1" x14ac:dyDescent="0.3">
      <c r="C38" s="95">
        <v>882.53</v>
      </c>
      <c r="D38" s="88">
        <f t="shared" si="0"/>
        <v>-1.092928020513689E-2</v>
      </c>
      <c r="E38" s="53"/>
    </row>
    <row r="39" spans="1:7" ht="15.75" customHeight="1" x14ac:dyDescent="0.3">
      <c r="C39" s="95">
        <v>886.6</v>
      </c>
      <c r="D39" s="88">
        <f t="shared" si="0"/>
        <v>-6.3679419735015426E-3</v>
      </c>
      <c r="E39" s="53"/>
    </row>
    <row r="40" spans="1:7" ht="15.75" customHeight="1" x14ac:dyDescent="0.3">
      <c r="C40" s="95">
        <v>891.18</v>
      </c>
      <c r="D40" s="88">
        <f t="shared" si="0"/>
        <v>-1.2350355605066285E-3</v>
      </c>
      <c r="E40" s="53"/>
    </row>
    <row r="41" spans="1:7" ht="15.75" customHeight="1" x14ac:dyDescent="0.3">
      <c r="C41" s="95">
        <v>895.14</v>
      </c>
      <c r="D41" s="88">
        <f t="shared" si="0"/>
        <v>3.2030232594628841E-3</v>
      </c>
      <c r="E41" s="53"/>
    </row>
    <row r="42" spans="1:7" ht="15.75" customHeight="1" x14ac:dyDescent="0.3">
      <c r="C42" s="95">
        <v>875.77</v>
      </c>
      <c r="D42" s="88">
        <f t="shared" si="0"/>
        <v>-1.8505360412963554E-2</v>
      </c>
      <c r="E42" s="53"/>
    </row>
    <row r="43" spans="1:7" ht="16.5" customHeight="1" x14ac:dyDescent="0.3">
      <c r="C43" s="96">
        <v>890.12</v>
      </c>
      <c r="D43" s="89">
        <f t="shared" si="0"/>
        <v>-2.4230008001953655E-3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17845.64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892.28199999999993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892.28199999999993</v>
      </c>
      <c r="C49" s="93">
        <f>-IF(C46&lt;=80,10%,IF(C46&lt;250,7.5%,5%))</f>
        <v>-0.05</v>
      </c>
      <c r="D49" s="81">
        <f>IF(C46&lt;=80,C46*0.9,IF(C46&lt;250,C46*0.925,C46*0.95))</f>
        <v>847.66789999999992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936.89609999999993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4" zoomScale="50" zoomScaleNormal="40" zoomScalePageLayoutView="50" workbookViewId="0">
      <selection activeCell="C90" sqref="C9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45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46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98"/>
    </row>
    <row r="16" spans="1:9" ht="19.5" customHeight="1" x14ac:dyDescent="0.3">
      <c r="A16" s="329" t="s">
        <v>31</v>
      </c>
      <c r="B16" s="330"/>
      <c r="C16" s="330"/>
      <c r="D16" s="330"/>
      <c r="E16" s="330"/>
      <c r="F16" s="330"/>
      <c r="G16" s="330"/>
      <c r="H16" s="331"/>
    </row>
    <row r="17" spans="1:14" ht="20.25" customHeight="1" x14ac:dyDescent="0.25">
      <c r="A17" s="332" t="s">
        <v>47</v>
      </c>
      <c r="B17" s="332"/>
      <c r="C17" s="332"/>
      <c r="D17" s="332"/>
      <c r="E17" s="332"/>
      <c r="F17" s="332"/>
      <c r="G17" s="332"/>
      <c r="H17" s="332"/>
    </row>
    <row r="18" spans="1:14" ht="26.25" customHeight="1" x14ac:dyDescent="0.4">
      <c r="A18" s="100" t="s">
        <v>33</v>
      </c>
      <c r="B18" s="328" t="s">
        <v>5</v>
      </c>
      <c r="C18" s="32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3" t="s">
        <v>9</v>
      </c>
      <c r="C20" s="33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3" t="s">
        <v>11</v>
      </c>
      <c r="C21" s="333"/>
      <c r="D21" s="333"/>
      <c r="E21" s="333"/>
      <c r="F21" s="333"/>
      <c r="G21" s="333"/>
      <c r="H21" s="333"/>
      <c r="I21" s="104"/>
    </row>
    <row r="22" spans="1:14" ht="26.25" customHeight="1" x14ac:dyDescent="0.4">
      <c r="A22" s="100" t="s">
        <v>37</v>
      </c>
      <c r="B22" s="105">
        <v>43180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43185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8" t="s">
        <v>9</v>
      </c>
      <c r="C26" s="328"/>
    </row>
    <row r="27" spans="1:14" ht="26.25" customHeight="1" x14ac:dyDescent="0.4">
      <c r="A27" s="109" t="s">
        <v>48</v>
      </c>
      <c r="B27" s="334" t="s">
        <v>132</v>
      </c>
      <c r="C27" s="334"/>
    </row>
    <row r="28" spans="1:14" ht="27" customHeight="1" x14ac:dyDescent="0.4">
      <c r="A28" s="109" t="s">
        <v>6</v>
      </c>
      <c r="B28" s="110">
        <v>99.1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99.1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444.423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482.51400000000001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0.92105721284771014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0" t="s">
        <v>59</v>
      </c>
      <c r="E36" s="335"/>
      <c r="F36" s="310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74395265</v>
      </c>
      <c r="E38" s="133">
        <f>IF(ISBLANK(D38),"-",$D$48/$D$45*D38)</f>
        <v>81180424.865808591</v>
      </c>
      <c r="F38" s="132">
        <v>88214466</v>
      </c>
      <c r="G38" s="134">
        <f>IF(ISBLANK(F38),"-",$D$48/$F$45*F38)</f>
        <v>81625874.050368324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74348291</v>
      </c>
      <c r="E39" s="138">
        <f>IF(ISBLANK(D39),"-",$D$48/$D$45*D39)</f>
        <v>81129166.640199125</v>
      </c>
      <c r="F39" s="137">
        <v>88555360</v>
      </c>
      <c r="G39" s="139">
        <f>IF(ISBLANK(F39),"-",$D$48/$F$45*F39)</f>
        <v>81941307.2437011</v>
      </c>
      <c r="I39" s="312">
        <f>ABS((F43/D43*D42)-F42)/D42</f>
        <v>7.3242958167898031E-3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74537807</v>
      </c>
      <c r="E40" s="138">
        <f>IF(ISBLANK(D40),"-",$D$48/$D$45*D40)</f>
        <v>81335967.293424413</v>
      </c>
      <c r="F40" s="137">
        <v>88177439</v>
      </c>
      <c r="G40" s="139">
        <f>IF(ISBLANK(F40),"-",$D$48/$F$45*F40)</f>
        <v>81591612.53549996</v>
      </c>
      <c r="I40" s="31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74427121</v>
      </c>
      <c r="E42" s="148">
        <f>AVERAGE(E38:E41)</f>
        <v>81215186.266477391</v>
      </c>
      <c r="F42" s="147">
        <f>AVERAGE(F38:F41)</f>
        <v>88315755</v>
      </c>
      <c r="G42" s="149">
        <f>AVERAGE(G38:G41)</f>
        <v>81719597.943189785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10.039999999999999</v>
      </c>
      <c r="E43" s="140"/>
      <c r="F43" s="152">
        <v>11.84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9.2474144169910097</v>
      </c>
      <c r="E44" s="155"/>
      <c r="F44" s="154">
        <f>F43*$B$34</f>
        <v>10.905317400116887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9.1641876872380905</v>
      </c>
      <c r="E45" s="158"/>
      <c r="F45" s="157">
        <f>F44*$B$30/100</f>
        <v>10.807169543515835</v>
      </c>
      <c r="H45" s="150"/>
    </row>
    <row r="46" spans="1:14" ht="19.5" customHeight="1" x14ac:dyDescent="0.3">
      <c r="A46" s="298" t="s">
        <v>78</v>
      </c>
      <c r="B46" s="299"/>
      <c r="C46" s="153" t="s">
        <v>79</v>
      </c>
      <c r="D46" s="159">
        <f>D45/$B$45</f>
        <v>0.1832837537447618</v>
      </c>
      <c r="E46" s="160"/>
      <c r="F46" s="161">
        <f>F45/$B$45</f>
        <v>0.2161433908703167</v>
      </c>
      <c r="H46" s="150"/>
    </row>
    <row r="47" spans="1:14" ht="27" customHeight="1" x14ac:dyDescent="0.4">
      <c r="A47" s="300"/>
      <c r="B47" s="301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10.857088854537231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81467392.104833588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3.799901530904406E-3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 Raltegravir 400 mg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Raltegravir</v>
      </c>
      <c r="H56" s="179"/>
    </row>
    <row r="57" spans="1:12" ht="18.75" x14ac:dyDescent="0.3">
      <c r="A57" s="176" t="s">
        <v>88</v>
      </c>
      <c r="B57" s="247">
        <f>Uniformity!C46</f>
        <v>892.28199999999993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5" t="s">
        <v>94</v>
      </c>
      <c r="D60" s="318">
        <v>892.19</v>
      </c>
      <c r="E60" s="182">
        <v>1</v>
      </c>
      <c r="F60" s="183">
        <v>82096605</v>
      </c>
      <c r="G60" s="248">
        <f>IF(ISBLANK(F60),"-",(F60/$D$50*$D$47*$B$68)*($B$57/$D$60))</f>
        <v>403.13096289612992</v>
      </c>
      <c r="H60" s="266">
        <f t="shared" ref="H60:H71" si="0">IF(ISBLANK(F60),"-",(G60/$B$56)*100)</f>
        <v>100.78274072403248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6"/>
      <c r="D61" s="319"/>
      <c r="E61" s="184">
        <v>2</v>
      </c>
      <c r="F61" s="137">
        <v>82037449</v>
      </c>
      <c r="G61" s="249">
        <f>IF(ISBLANK(F61),"-",(F61/$D$50*$D$47*$B$68)*($B$57/$D$60))</f>
        <v>402.8404805401168</v>
      </c>
      <c r="H61" s="267">
        <f t="shared" si="0"/>
        <v>100.7101201350292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4">
        <v>3</v>
      </c>
      <c r="F62" s="185">
        <v>82078788</v>
      </c>
      <c r="G62" s="249">
        <f>IF(ISBLANK(F62),"-",(F62/$D$50*$D$47*$B$68)*($B$57/$D$60))</f>
        <v>403.04347347600202</v>
      </c>
      <c r="H62" s="267">
        <f t="shared" si="0"/>
        <v>100.76086836900051</v>
      </c>
      <c r="L62" s="112"/>
    </row>
    <row r="63" spans="1:12" ht="27" customHeight="1" x14ac:dyDescent="0.4">
      <c r="A63" s="124" t="s">
        <v>97</v>
      </c>
      <c r="B63" s="125">
        <v>1</v>
      </c>
      <c r="C63" s="325"/>
      <c r="D63" s="3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895.75</v>
      </c>
      <c r="E64" s="182">
        <v>1</v>
      </c>
      <c r="F64" s="183">
        <v>82647276</v>
      </c>
      <c r="G64" s="248">
        <f>IF(ISBLANK(F64),"-",(F64/$D$50*$D$47*$B$68)*($B$57/$D$64))</f>
        <v>404.2220837553968</v>
      </c>
      <c r="H64" s="266">
        <f t="shared" si="0"/>
        <v>101.0555209388492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4">
        <v>2</v>
      </c>
      <c r="F65" s="137">
        <v>82630900</v>
      </c>
      <c r="G65" s="249">
        <f>IF(ISBLANK(F65),"-",(F65/$D$50*$D$47*$B$68)*($B$57/$D$64))</f>
        <v>404.1419898773654</v>
      </c>
      <c r="H65" s="267">
        <f t="shared" si="0"/>
        <v>101.03549746934135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4">
        <v>3</v>
      </c>
      <c r="F66" s="137">
        <v>82772882</v>
      </c>
      <c r="G66" s="249">
        <f>IF(ISBLANK(F66),"-",(F66/$D$50*$D$47*$B$68)*($B$57/$D$64))</f>
        <v>404.83641397303376</v>
      </c>
      <c r="H66" s="267">
        <f t="shared" si="0"/>
        <v>101.20910349325844</v>
      </c>
    </row>
    <row r="67" spans="1:8" ht="27" customHeight="1" x14ac:dyDescent="0.4">
      <c r="A67" s="124" t="s">
        <v>102</v>
      </c>
      <c r="B67" s="125">
        <v>1</v>
      </c>
      <c r="C67" s="325"/>
      <c r="D67" s="3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315" t="s">
        <v>104</v>
      </c>
      <c r="D68" s="318">
        <v>887.11</v>
      </c>
      <c r="E68" s="182">
        <v>1</v>
      </c>
      <c r="F68" s="183">
        <v>80930566</v>
      </c>
      <c r="G68" s="248">
        <f>IF(ISBLANK(F68),"-",(F68/$D$50*$D$47*$B$68)*($B$57/$D$68))</f>
        <v>399.68091606934314</v>
      </c>
      <c r="H68" s="267">
        <f t="shared" si="0"/>
        <v>99.920229017335785</v>
      </c>
    </row>
    <row r="69" spans="1:8" ht="27" customHeight="1" x14ac:dyDescent="0.4">
      <c r="A69" s="172" t="s">
        <v>105</v>
      </c>
      <c r="B69" s="189">
        <f>(D47*B68)/B56*B57</f>
        <v>892.28199999999993</v>
      </c>
      <c r="C69" s="316"/>
      <c r="D69" s="319"/>
      <c r="E69" s="184">
        <v>2</v>
      </c>
      <c r="F69" s="137">
        <v>80930568</v>
      </c>
      <c r="G69" s="249">
        <f>IF(ISBLANK(F69),"-",(F69/$D$50*$D$47*$B$68)*($B$57/$D$68))</f>
        <v>399.68092594647447</v>
      </c>
      <c r="H69" s="267">
        <f t="shared" si="0"/>
        <v>99.920231486618619</v>
      </c>
    </row>
    <row r="70" spans="1:8" ht="26.25" customHeight="1" x14ac:dyDescent="0.4">
      <c r="A70" s="321" t="s">
        <v>78</v>
      </c>
      <c r="B70" s="322"/>
      <c r="C70" s="316"/>
      <c r="D70" s="319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323"/>
      <c r="B71" s="324"/>
      <c r="C71" s="317"/>
      <c r="D71" s="3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402.69715581673279</v>
      </c>
      <c r="H72" s="269">
        <f>AVERAGE(H60:H71)</f>
        <v>100.6742889541832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4.9231656625734494E-3</v>
      </c>
      <c r="H73" s="253">
        <f>STDEV(H60:H71)/H72</f>
        <v>4.9231656625734494E-3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8</v>
      </c>
      <c r="H74" s="196">
        <f>COUNT(H60:H71)</f>
        <v>8</v>
      </c>
    </row>
    <row r="76" spans="1:8" ht="26.25" customHeight="1" x14ac:dyDescent="0.4">
      <c r="A76" s="108" t="s">
        <v>106</v>
      </c>
      <c r="B76" s="197" t="s">
        <v>107</v>
      </c>
      <c r="C76" s="302" t="str">
        <f>B26</f>
        <v>Raltegravir</v>
      </c>
      <c r="D76" s="302"/>
      <c r="E76" s="198" t="s">
        <v>108</v>
      </c>
      <c r="F76" s="198"/>
      <c r="G76" s="285">
        <f>H72</f>
        <v>100.6742889541832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6" t="str">
        <f>B26</f>
        <v>Raltegravir</v>
      </c>
      <c r="C79" s="336"/>
    </row>
    <row r="80" spans="1:8" ht="26.25" customHeight="1" x14ac:dyDescent="0.4">
      <c r="A80" s="109" t="s">
        <v>48</v>
      </c>
      <c r="B80" s="336" t="str">
        <f>B27</f>
        <v>NQCL-PRS-R22-1</v>
      </c>
      <c r="C80" s="336"/>
    </row>
    <row r="81" spans="1:12" ht="27" customHeight="1" x14ac:dyDescent="0.4">
      <c r="A81" s="109" t="s">
        <v>6</v>
      </c>
      <c r="B81" s="201">
        <f>B28</f>
        <v>99.1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99.1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444.423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482.51400000000001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0.92105721284771014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10" t="s">
        <v>60</v>
      </c>
      <c r="G89" s="311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13841294</v>
      </c>
      <c r="E91" s="133">
        <f>IF(ISBLANK(D91),"-",$D$101/$D$98*D91)</f>
        <v>15629862.622577958</v>
      </c>
      <c r="F91" s="132">
        <v>15201335</v>
      </c>
      <c r="G91" s="134">
        <f>IF(ISBLANK(F91),"-",$D$101/$F$98*F91)</f>
        <v>15938474.000967722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13851961</v>
      </c>
      <c r="E92" s="138">
        <f>IF(ISBLANK(D92),"-",$D$101/$D$98*D92)</f>
        <v>15641908.009706866</v>
      </c>
      <c r="F92" s="137">
        <v>15208499</v>
      </c>
      <c r="G92" s="139">
        <f>IF(ISBLANK(F92),"-",$D$101/$F$98*F92)</f>
        <v>15945985.395706601</v>
      </c>
      <c r="I92" s="312">
        <f>ABS((F96/D96*D95)-F95)/D95</f>
        <v>1.8898207825184265E-2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13881499</v>
      </c>
      <c r="E93" s="138">
        <f>IF(ISBLANK(D93),"-",$D$101/$D$98*D93)</f>
        <v>15675262.90283649</v>
      </c>
      <c r="F93" s="137">
        <v>15151633</v>
      </c>
      <c r="G93" s="139">
        <f>IF(ISBLANK(F93),"-",$D$101/$F$98*F93)</f>
        <v>15886361.865106229</v>
      </c>
      <c r="I93" s="312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13858251.333333334</v>
      </c>
      <c r="E95" s="148">
        <f>AVERAGE(E91:E94)</f>
        <v>15649011.178373771</v>
      </c>
      <c r="F95" s="211">
        <f>AVERAGE(F91:F94)</f>
        <v>15187155.666666666</v>
      </c>
      <c r="G95" s="212">
        <f>AVERAGE(G91:G94)</f>
        <v>15923607.087260185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10.78</v>
      </c>
      <c r="E96" s="140"/>
      <c r="F96" s="152">
        <v>11.61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9.9289967544983142</v>
      </c>
      <c r="E97" s="155"/>
      <c r="F97" s="154">
        <f>F96*$B$87</f>
        <v>10.693474241161914</v>
      </c>
    </row>
    <row r="98" spans="1:10" ht="19.5" customHeight="1" x14ac:dyDescent="0.3">
      <c r="A98" s="124" t="s">
        <v>76</v>
      </c>
      <c r="B98" s="217">
        <f>(B97/B96)*(B95/B94)*(B93/B92)*(B91/B90)*B89</f>
        <v>25</v>
      </c>
      <c r="C98" s="215" t="s">
        <v>115</v>
      </c>
      <c r="D98" s="218">
        <f>D97*$B$83/100</f>
        <v>9.8396357837078288</v>
      </c>
      <c r="E98" s="158"/>
      <c r="F98" s="157">
        <f>F97*$B$83/100</f>
        <v>10.597232972991456</v>
      </c>
    </row>
    <row r="99" spans="1:10" ht="19.5" customHeight="1" x14ac:dyDescent="0.3">
      <c r="A99" s="298" t="s">
        <v>78</v>
      </c>
      <c r="B99" s="313"/>
      <c r="C99" s="215" t="s">
        <v>116</v>
      </c>
      <c r="D99" s="219">
        <f>D98/$B$98</f>
        <v>0.39358543134831314</v>
      </c>
      <c r="E99" s="158"/>
      <c r="F99" s="161">
        <f>F98/$B$98</f>
        <v>0.42388931891965825</v>
      </c>
      <c r="G99" s="220"/>
      <c r="H99" s="150"/>
    </row>
    <row r="100" spans="1:10" ht="19.5" customHeight="1" x14ac:dyDescent="0.3">
      <c r="A100" s="300"/>
      <c r="B100" s="314"/>
      <c r="C100" s="215" t="s">
        <v>80</v>
      </c>
      <c r="D100" s="221">
        <f>$B$56/$B$116</f>
        <v>0.44444444444444442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12.063432060596924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15786309.132816976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9.661865040864059E-3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14491414</v>
      </c>
      <c r="E108" s="250">
        <f t="shared" ref="E108:E113" si="1">IF(ISBLANK(D108),"-",D108/$D$103*$D$100*$B$116)</f>
        <v>367.18941401888259</v>
      </c>
      <c r="F108" s="277">
        <f t="shared" ref="F108:F113" si="2">IF(ISBLANK(D108), "-", (E108/$B$56)*100)</f>
        <v>91.797353504720647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14158814</v>
      </c>
      <c r="E109" s="251">
        <f t="shared" si="1"/>
        <v>358.76185828811117</v>
      </c>
      <c r="F109" s="278">
        <f t="shared" si="2"/>
        <v>89.690464572027793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14545945</v>
      </c>
      <c r="E110" s="251">
        <f t="shared" si="1"/>
        <v>368.57114294718895</v>
      </c>
      <c r="F110" s="278">
        <f t="shared" si="2"/>
        <v>92.142785736797236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14440300</v>
      </c>
      <c r="E111" s="251">
        <f t="shared" si="1"/>
        <v>365.89426644334844</v>
      </c>
      <c r="F111" s="278">
        <f t="shared" si="2"/>
        <v>91.473566610837111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14398578</v>
      </c>
      <c r="E112" s="251">
        <f t="shared" si="1"/>
        <v>364.83709723048247</v>
      </c>
      <c r="F112" s="278">
        <f t="shared" si="2"/>
        <v>91.209274307620618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14241193</v>
      </c>
      <c r="E113" s="252">
        <f t="shared" si="1"/>
        <v>360.84921130538481</v>
      </c>
      <c r="F113" s="279">
        <f t="shared" si="2"/>
        <v>90.212302826346203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364.35049837223306</v>
      </c>
      <c r="F115" s="281">
        <f>AVERAGE(F108:F113)</f>
        <v>91.087624593058266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1.0413991236139593E-2</v>
      </c>
      <c r="F116" s="235">
        <f>STDEV(F108:F113)/F115</f>
        <v>1.0413991236139593E-2</v>
      </c>
      <c r="I116" s="98"/>
    </row>
    <row r="117" spans="1:10" ht="27" customHeight="1" x14ac:dyDescent="0.4">
      <c r="A117" s="298" t="s">
        <v>78</v>
      </c>
      <c r="B117" s="29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00"/>
      <c r="B118" s="301"/>
      <c r="C118" s="98"/>
      <c r="D118" s="260"/>
      <c r="E118" s="326" t="s">
        <v>123</v>
      </c>
      <c r="F118" s="32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358.76185828811117</v>
      </c>
      <c r="F119" s="282">
        <f>MIN(F108:F113)</f>
        <v>89.690464572027793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368.57114294718895</v>
      </c>
      <c r="F120" s="283">
        <f>MAX(F108:F113)</f>
        <v>92.142785736797236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2" t="str">
        <f>B26</f>
        <v>Raltegravir</v>
      </c>
      <c r="D124" s="302"/>
      <c r="E124" s="198" t="s">
        <v>127</v>
      </c>
      <c r="F124" s="198"/>
      <c r="G124" s="284">
        <f>F115</f>
        <v>91.087624593058266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89.690464572027793</v>
      </c>
      <c r="E125" s="209" t="s">
        <v>130</v>
      </c>
      <c r="F125" s="284">
        <f>MAX(F108:F113)</f>
        <v>92.142785736797236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3" t="s">
        <v>26</v>
      </c>
      <c r="C127" s="303"/>
      <c r="E127" s="204" t="s">
        <v>27</v>
      </c>
      <c r="F127" s="239"/>
      <c r="G127" s="303" t="s">
        <v>28</v>
      </c>
      <c r="H127" s="303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Raltegravir</vt:lpstr>
      <vt:lpstr>Raltegravir!Print_Area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2018-03-26T10:03:33Z</cp:lastPrinted>
  <dcterms:created xsi:type="dcterms:W3CDTF">2005-07-05T10:19:27Z</dcterms:created>
  <dcterms:modified xsi:type="dcterms:W3CDTF">2018-04-06T11:02:48Z</dcterms:modified>
</cp:coreProperties>
</file>