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4"/>
  </bookViews>
  <sheets>
    <sheet name="EMTRICITABINE SST" sheetId="5" r:id="rId1"/>
    <sheet name="TENOFOVIR DISOPROXIL SST" sheetId="1" r:id="rId2"/>
    <sheet name="Uniformity" sheetId="2" r:id="rId3"/>
    <sheet name="EMTRICITABINE" sheetId="3" r:id="rId4"/>
    <sheet name="TENOFOVIR DISOPROXIL FUMARAT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31" i="1" l="1"/>
  <c r="B30" i="1"/>
  <c r="B21" i="1"/>
  <c r="B30" i="5"/>
  <c r="B21" i="5"/>
  <c r="B53" i="5" l="1"/>
  <c r="E51" i="5"/>
  <c r="D51" i="5"/>
  <c r="C51" i="5"/>
  <c r="B51" i="5"/>
  <c r="B52" i="5" s="1"/>
  <c r="B32" i="5"/>
  <c r="E30" i="5"/>
  <c r="D30" i="5"/>
  <c r="C30" i="5"/>
  <c r="B31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50" i="2"/>
  <c r="C46" i="2"/>
  <c r="C45" i="2"/>
  <c r="D40" i="2"/>
  <c r="D39" i="2"/>
  <c r="D35" i="2"/>
  <c r="D33" i="2"/>
  <c r="D29" i="2"/>
  <c r="D28" i="2"/>
  <c r="D24" i="2"/>
  <c r="C19" i="2"/>
  <c r="B53" i="1"/>
  <c r="E51" i="1"/>
  <c r="D51" i="1"/>
  <c r="C51" i="1"/>
  <c r="B51" i="1"/>
  <c r="B52" i="1" s="1"/>
  <c r="B32" i="1"/>
  <c r="E30" i="1"/>
  <c r="D30" i="1"/>
  <c r="C30" i="1"/>
  <c r="D101" i="4" l="1"/>
  <c r="I92" i="4"/>
  <c r="D97" i="4"/>
  <c r="D98" i="4" s="1"/>
  <c r="I39" i="4"/>
  <c r="F44" i="4"/>
  <c r="F45" i="4" s="1"/>
  <c r="F98" i="4"/>
  <c r="F99" i="4" s="1"/>
  <c r="D45" i="4"/>
  <c r="D46" i="4" s="1"/>
  <c r="I92" i="3"/>
  <c r="D101" i="3"/>
  <c r="D102" i="3" s="1"/>
  <c r="I39" i="3"/>
  <c r="F97" i="3"/>
  <c r="F98" i="3" s="1"/>
  <c r="G91" i="3" s="1"/>
  <c r="D97" i="3"/>
  <c r="D98" i="3" s="1"/>
  <c r="D99" i="3" s="1"/>
  <c r="B57" i="4"/>
  <c r="D50" i="2"/>
  <c r="B49" i="2"/>
  <c r="D42" i="2"/>
  <c r="D38" i="2"/>
  <c r="D34" i="2"/>
  <c r="D30" i="2"/>
  <c r="D26" i="2"/>
  <c r="D27" i="2"/>
  <c r="D32" i="2"/>
  <c r="D37" i="2"/>
  <c r="D43" i="2"/>
  <c r="D49" i="2"/>
  <c r="D49" i="3"/>
  <c r="B69" i="4"/>
  <c r="D25" i="2"/>
  <c r="D31" i="2"/>
  <c r="D36" i="2"/>
  <c r="D41" i="2"/>
  <c r="C49" i="2"/>
  <c r="D45" i="3"/>
  <c r="E38" i="3" s="1"/>
  <c r="E41" i="3"/>
  <c r="F44" i="3"/>
  <c r="F45" i="3" s="1"/>
  <c r="G38" i="3" s="1"/>
  <c r="B57" i="3"/>
  <c r="B69" i="3" s="1"/>
  <c r="E41" i="4"/>
  <c r="E40" i="4"/>
  <c r="D49" i="4"/>
  <c r="E92" i="4"/>
  <c r="G93" i="4"/>
  <c r="D102" i="4"/>
  <c r="G92" i="4"/>
  <c r="E91" i="4"/>
  <c r="G91" i="4" l="1"/>
  <c r="G95" i="4" s="1"/>
  <c r="G94" i="4"/>
  <c r="F46" i="4"/>
  <c r="G41" i="4"/>
  <c r="G40" i="4"/>
  <c r="G38" i="4"/>
  <c r="G39" i="4"/>
  <c r="E39" i="4"/>
  <c r="E38" i="4"/>
  <c r="E40" i="3"/>
  <c r="D99" i="4"/>
  <c r="E93" i="4"/>
  <c r="F46" i="3"/>
  <c r="G40" i="3"/>
  <c r="G39" i="3"/>
  <c r="E91" i="3"/>
  <c r="E92" i="3"/>
  <c r="F99" i="3"/>
  <c r="G92" i="3"/>
  <c r="G94" i="3"/>
  <c r="G93" i="3"/>
  <c r="E94" i="4"/>
  <c r="E94" i="3"/>
  <c r="E39" i="3"/>
  <c r="D46" i="3"/>
  <c r="E93" i="3"/>
  <c r="G41" i="3"/>
  <c r="E42" i="3" l="1"/>
  <c r="D103" i="4"/>
  <c r="D104" i="4" s="1"/>
  <c r="D52" i="4"/>
  <c r="D50" i="4"/>
  <c r="G63" i="4" s="1"/>
  <c r="H63" i="4" s="1"/>
  <c r="G42" i="4"/>
  <c r="E42" i="4"/>
  <c r="E95" i="4"/>
  <c r="D105" i="4"/>
  <c r="G95" i="3"/>
  <c r="D52" i="3"/>
  <c r="D50" i="3"/>
  <c r="G69" i="3" s="1"/>
  <c r="H69" i="3" s="1"/>
  <c r="G42" i="3"/>
  <c r="E95" i="3"/>
  <c r="D105" i="3"/>
  <c r="D103" i="3"/>
  <c r="G68" i="3"/>
  <c r="H68" i="3" s="1"/>
  <c r="G62" i="3"/>
  <c r="H62" i="3" s="1"/>
  <c r="G70" i="3"/>
  <c r="H70" i="3" s="1"/>
  <c r="D51" i="3"/>
  <c r="G63" i="3"/>
  <c r="H63" i="3" s="1"/>
  <c r="G71" i="4"/>
  <c r="H71" i="4" s="1"/>
  <c r="G64" i="4"/>
  <c r="H64" i="4" s="1"/>
  <c r="G62" i="4"/>
  <c r="H62" i="4" s="1"/>
  <c r="G60" i="4"/>
  <c r="D51" i="4" l="1"/>
  <c r="E110" i="4"/>
  <c r="F110" i="4" s="1"/>
  <c r="E111" i="4"/>
  <c r="F111" i="4" s="1"/>
  <c r="E108" i="4"/>
  <c r="E109" i="4"/>
  <c r="F109" i="4" s="1"/>
  <c r="E112" i="4"/>
  <c r="F112" i="4" s="1"/>
  <c r="E113" i="4"/>
  <c r="F113" i="4" s="1"/>
  <c r="G67" i="4"/>
  <c r="H67" i="4" s="1"/>
  <c r="G66" i="4"/>
  <c r="H66" i="4" s="1"/>
  <c r="G69" i="4"/>
  <c r="H69" i="4" s="1"/>
  <c r="G70" i="4"/>
  <c r="H70" i="4" s="1"/>
  <c r="G68" i="4"/>
  <c r="H68" i="4" s="1"/>
  <c r="G65" i="4"/>
  <c r="H65" i="4" s="1"/>
  <c r="G61" i="4"/>
  <c r="H61" i="4" s="1"/>
  <c r="G67" i="3"/>
  <c r="H67" i="3" s="1"/>
  <c r="G64" i="3"/>
  <c r="H64" i="3" s="1"/>
  <c r="G66" i="3"/>
  <c r="H66" i="3" s="1"/>
  <c r="G61" i="3"/>
  <c r="H61" i="3" s="1"/>
  <c r="G60" i="3"/>
  <c r="H60" i="3" s="1"/>
  <c r="G65" i="3"/>
  <c r="H65" i="3" s="1"/>
  <c r="G71" i="3"/>
  <c r="H71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F108" i="4"/>
  <c r="H60" i="4"/>
  <c r="G72" i="4" l="1"/>
  <c r="G73" i="4" s="1"/>
  <c r="E120" i="4"/>
  <c r="E119" i="4"/>
  <c r="E115" i="4"/>
  <c r="E116" i="4" s="1"/>
  <c r="E117" i="4"/>
  <c r="G74" i="4"/>
  <c r="G72" i="3"/>
  <c r="G73" i="3" s="1"/>
  <c r="G74" i="3"/>
  <c r="E115" i="3"/>
  <c r="E116" i="3" s="1"/>
  <c r="E119" i="3"/>
  <c r="E117" i="3"/>
  <c r="F108" i="3"/>
  <c r="E120" i="3"/>
  <c r="H74" i="4"/>
  <c r="H72" i="4"/>
  <c r="H74" i="3"/>
  <c r="H72" i="3"/>
  <c r="F125" i="4"/>
  <c r="F120" i="4"/>
  <c r="F117" i="4"/>
  <c r="D125" i="4"/>
  <c r="F115" i="4"/>
  <c r="F119" i="4"/>
  <c r="G76" i="4" l="1"/>
  <c r="H73" i="4"/>
  <c r="G124" i="4"/>
  <c r="F116" i="4"/>
  <c r="G76" i="3"/>
  <c r="H73" i="3"/>
  <c r="F119" i="3"/>
  <c r="F125" i="3"/>
  <c r="F120" i="3"/>
  <c r="F117" i="3"/>
  <c r="D125" i="3"/>
  <c r="F115" i="3"/>
  <c r="G124" i="3" l="1"/>
  <c r="F116" i="3"/>
</calcChain>
</file>

<file path=xl/sharedStrings.xml><?xml version="1.0" encoding="utf-8"?>
<sst xmlns="http://schemas.openxmlformats.org/spreadsheetml/2006/main" count="456" uniqueCount="144">
  <si>
    <t>HPLC System Suitability Report</t>
  </si>
  <si>
    <t>Analysis Data</t>
  </si>
  <si>
    <t>Assay</t>
  </si>
  <si>
    <t>Sample(s)</t>
  </si>
  <si>
    <t>Reference Substance:</t>
  </si>
  <si>
    <t>TENOFOVIR DISOPROXIL FUMARATE/ EMTRICITABINE TABLET  300 mg /300 mg/ 600 mg</t>
  </si>
  <si>
    <t>% age Purity:</t>
  </si>
  <si>
    <t>NDQB201709164</t>
  </si>
  <si>
    <t>Weight (mg):</t>
  </si>
  <si>
    <t>Tenofovir Disoproxil Fumarate, Emtricitabine</t>
  </si>
  <si>
    <t>Standard Conc (mg/mL):</t>
  </si>
  <si>
    <t>Each film coated tablet contains  Disoproxil Fumarate 300 mg equivalent to Tenofovir Disoproxil 245 mg.  Emtricitabine 200mg and Tenofovir</t>
  </si>
  <si>
    <t>2017-09-26 12:10:54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</si>
  <si>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</si>
  <si>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</si>
  <si>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</si>
  <si>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</si>
  <si>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</si>
  <si>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</si>
  <si>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</si>
  <si>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</si>
  <si>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</si>
  <si>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</si>
  <si>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</si>
  <si>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</si>
  <si>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</si>
  <si>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</si>
  <si>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</si>
  <si>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</si>
  <si>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</si>
  <si>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</si>
  <si>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</si>
  <si>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</si>
  <si>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</si>
  <si>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</si>
  <si>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</si>
  <si>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</si>
  <si>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</si>
  <si>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</si>
  <si>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</si>
  <si>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</si>
  <si>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</si>
  <si>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</si>
  <si>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</si>
  <si>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</si>
  <si>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</si>
  <si>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</si>
  <si>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</si>
  <si>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</si>
  <si>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</si>
  <si>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</si>
  <si>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</si>
  <si>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</si>
  <si>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</si>
  <si>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</si>
  <si>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</si>
  <si>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</si>
  <si>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</si>
  <si>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</si>
  <si>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</si>
  <si>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</si>
  <si>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</si>
  <si>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</si>
  <si>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</si>
  <si>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</si>
  <si>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</si>
  <si>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</si>
  <si>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</si>
  <si>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</si>
  <si>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</si>
  <si>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</si>
  <si>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</si>
  <si>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</si>
  <si>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</si>
  <si>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</si>
  <si>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</si>
  <si>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</si>
  <si>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</si>
  <si>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</si>
  <si>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</si>
  <si>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</si>
  <si>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</si>
  <si>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</si>
  <si>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</si>
  <si>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</si>
  <si>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</si>
  <si>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</si>
  <si>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</si>
  <si>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</si>
  <si>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</si>
  <si>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</si>
  <si>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</si>
  <si>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</si>
  <si>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</si>
  <si>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</si>
  <si>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</si>
  <si>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</si>
  <si>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</si>
  <si>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</si>
  <si>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</si>
  <si>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</si>
  <si>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</si>
  <si>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</si>
  <si>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</si>
  <si>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</si>
  <si>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</si>
  <si>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</si>
  <si>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</si>
  <si>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</si>
  <si>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</si>
  <si>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</si>
  <si>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</si>
  <si>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</si>
  <si>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</si>
  <si>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</si>
  <si>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</si>
  <si>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</si>
  <si>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</si>
  <si>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</si>
  <si>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</si>
  <si>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</si>
  <si>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</si>
  <si>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</si>
  <si>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</si>
  <si>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</si>
  <si>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</si>
  <si>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</si>
  <si>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</si>
  <si>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</si>
  <si>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</si>
  <si>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EMTRICITABINE</t>
  </si>
  <si>
    <t>TENOFOVIR DISOPROXIL FUMARATE</t>
  </si>
  <si>
    <t>PETER</t>
  </si>
  <si>
    <t>NGUMO</t>
  </si>
  <si>
    <t>E11-3</t>
  </si>
  <si>
    <t>T11-10</t>
  </si>
  <si>
    <t>TENOFOVIR DISOPROXIL FUMARATE/ EMTRICITABINE TABLET  300 mg / 600 mg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</si>
  <si>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not less</t>
    </r>
    <r>
      <rPr>
        <b/>
        <sz val="12"/>
        <color rgb="FF000000"/>
        <rFont val="Book Antiqua"/>
        <family val="1"/>
      </rPr>
      <t xml:space="preserve"> than 5000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</si>
  <si>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not less than 5000</t>
    </r>
  </si>
  <si>
    <t>Each film coated tablet contains  Tenofovir Disoproxil Fumarate 300 mg equivalent to Tenofovir Disoproxil 245 mg and Emtricitabine 200 mg.</t>
  </si>
  <si>
    <t>TENOFOVIR DISOPROXIL FUMARATE/ EMTRICITABINE TABLET  300 mg /200 mg</t>
  </si>
  <si>
    <t>Emtricitabine</t>
  </si>
  <si>
    <t xml:space="preserve">Each film coated tablet contains Tenofovir Disoproxil Fumarate 300 mg equivalent to Tenofovir Disoproxil 245 mg and Emtricitabine 200mg  </t>
  </si>
  <si>
    <t>Tenofovir Disoproxil Fumarate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</si>
</sst>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7" xfId="0" applyFont="1" applyFill="1" applyBorder="1"/>
    <xf numFmtId="0" fontId="29" fillId="2" borderId="0" xfId="0" applyFont="1" applyFill="1" applyAlignment="1">
      <alignment horizontal="left"/>
    </xf>
    <xf numFmtId="0" fontId="30" fillId="2" borderId="0" xfId="0" applyFont="1" applyFill="1" applyAlignment="1" applyProtection="1">
      <alignment horizontal="left"/>
      <protection locked="0"/>
    </xf>
    <xf numFmtId="168" fontId="28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27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2" fontId="27" fillId="3" borderId="13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176" fontId="7" fillId="3" borderId="31" xfId="0" applyNumberFormat="1" applyFont="1" applyFill="1" applyBorder="1" applyAlignment="1" applyProtection="1">
      <alignment horizontal="center"/>
      <protection locked="0"/>
    </xf>
    <xf numFmtId="176" fontId="7" fillId="3" borderId="57" xfId="0" applyNumberFormat="1" applyFont="1" applyFill="1" applyBorder="1" applyAlignment="1" applyProtection="1">
      <alignment horizontal="center"/>
      <protection locked="0"/>
    </xf>
    <xf numFmtId="176" fontId="7" fillId="3" borderId="58" xfId="0" applyNumberFormat="1" applyFont="1" applyFill="1" applyBorder="1" applyAlignment="1" applyProtection="1">
      <alignment horizontal="center"/>
      <protection locked="0"/>
    </xf>
    <xf numFmtId="176" fontId="7" fillId="3" borderId="59" xfId="0" applyNumberFormat="1" applyFont="1" applyFill="1" applyBorder="1" applyAlignment="1" applyProtection="1">
      <alignment horizontal="center"/>
      <protection locked="0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76" fontId="7" fillId="3" borderId="5" xfId="0" applyNumberFormat="1" applyFont="1" applyFill="1" applyBorder="1" applyAlignment="1" applyProtection="1">
      <alignment horizontal="center"/>
      <protection locked="0"/>
    </xf>
    <xf numFmtId="176" fontId="5" fillId="4" borderId="1" xfId="0" applyNumberFormat="1" applyFont="1" applyFill="1" applyBorder="1" applyAlignment="1">
      <alignment horizontal="center"/>
    </xf>
    <xf numFmtId="176" fontId="7" fillId="3" borderId="35" xfId="0" applyNumberFormat="1" applyFont="1" applyFill="1" applyBorder="1" applyAlignment="1" applyProtection="1">
      <alignment horizontal="center"/>
      <protection locked="0"/>
    </xf>
    <xf numFmtId="0" fontId="13" fillId="3" borderId="0" xfId="0" applyFont="1" applyFill="1" applyAlignment="1" applyProtection="1">
      <protection locked="0"/>
    </xf>
    <xf numFmtId="0" fontId="14" fillId="3" borderId="0" xfId="0" applyFont="1" applyFill="1" applyAlignment="1" applyProtection="1"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B31" sqref="B31"/>
    </sheetView>
  </sheetViews>
  <sheetFormatPr defaultColWidth="9.109375" defaultRowHeight="13.8" x14ac:dyDescent="0.3"/>
  <cols>
    <col min="1" max="1" width="27.5546875" style="408" customWidth="1"/>
    <col min="2" max="2" width="20.44140625" style="408" customWidth="1"/>
    <col min="3" max="3" width="31.88671875" style="408" customWidth="1"/>
    <col min="4" max="4" width="25.88671875" style="408" customWidth="1"/>
    <col min="5" max="5" width="25.6640625" style="408" customWidth="1"/>
    <col min="6" max="6" width="23.109375" style="408" customWidth="1"/>
    <col min="7" max="7" width="28.44140625" style="408" customWidth="1"/>
    <col min="8" max="8" width="21.5546875" style="408" customWidth="1"/>
    <col min="9" max="9" width="9.109375" style="408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79" t="s">
        <v>0</v>
      </c>
      <c r="B15" s="479"/>
      <c r="C15" s="479"/>
      <c r="D15" s="479"/>
      <c r="E15" s="479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476" t="s">
        <v>136</v>
      </c>
      <c r="D17" s="9"/>
      <c r="E17" s="72"/>
    </row>
    <row r="18" spans="1:5" ht="16.5" customHeight="1" x14ac:dyDescent="0.3">
      <c r="A18" s="75" t="s">
        <v>4</v>
      </c>
      <c r="B18" s="474" t="s">
        <v>130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99.8</v>
      </c>
      <c r="C19" s="72"/>
      <c r="D19" s="72"/>
      <c r="E19" s="72"/>
    </row>
    <row r="20" spans="1:5" ht="16.5" customHeight="1" x14ac:dyDescent="0.3">
      <c r="A20" s="8" t="s">
        <v>8</v>
      </c>
      <c r="B20" s="12">
        <v>21.37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B20/50*10/100</f>
        <v>4.274E-2</v>
      </c>
      <c r="C21" s="72"/>
      <c r="D21" s="72"/>
      <c r="E21" s="72"/>
    </row>
    <row r="22" spans="1:5" ht="15.75" customHeight="1" x14ac:dyDescent="0.3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533" t="s">
        <v>17</v>
      </c>
    </row>
    <row r="24" spans="1:5" ht="16.5" customHeight="1" x14ac:dyDescent="0.3">
      <c r="A24" s="17">
        <v>1</v>
      </c>
      <c r="B24" s="18">
        <v>9885665</v>
      </c>
      <c r="C24" s="539">
        <v>57577.599999999999</v>
      </c>
      <c r="D24" s="535">
        <v>1.1000000000000001</v>
      </c>
      <c r="E24" s="536">
        <v>6.9</v>
      </c>
    </row>
    <row r="25" spans="1:5" ht="16.5" customHeight="1" x14ac:dyDescent="0.3">
      <c r="A25" s="17">
        <v>2</v>
      </c>
      <c r="B25" s="18">
        <v>9864733</v>
      </c>
      <c r="C25" s="539">
        <v>57222.9</v>
      </c>
      <c r="D25" s="535">
        <v>1.1000000000000001</v>
      </c>
      <c r="E25" s="537">
        <v>6.9</v>
      </c>
    </row>
    <row r="26" spans="1:5" ht="16.5" customHeight="1" x14ac:dyDescent="0.3">
      <c r="A26" s="17">
        <v>3</v>
      </c>
      <c r="B26" s="18">
        <v>9893369</v>
      </c>
      <c r="C26" s="539">
        <v>57384</v>
      </c>
      <c r="D26" s="535">
        <v>1.1000000000000001</v>
      </c>
      <c r="E26" s="537">
        <v>6.9</v>
      </c>
    </row>
    <row r="27" spans="1:5" ht="16.5" customHeight="1" x14ac:dyDescent="0.3">
      <c r="A27" s="17">
        <v>4</v>
      </c>
      <c r="B27" s="18">
        <v>9928345</v>
      </c>
      <c r="C27" s="539">
        <v>57275.4</v>
      </c>
      <c r="D27" s="535">
        <v>1.1000000000000001</v>
      </c>
      <c r="E27" s="537">
        <v>6.9</v>
      </c>
    </row>
    <row r="28" spans="1:5" ht="16.5" customHeight="1" x14ac:dyDescent="0.3">
      <c r="A28" s="17">
        <v>5</v>
      </c>
      <c r="B28" s="18">
        <v>9877537</v>
      </c>
      <c r="C28" s="539">
        <v>57794.2</v>
      </c>
      <c r="D28" s="535">
        <v>1.1000000000000001</v>
      </c>
      <c r="E28" s="537">
        <v>6.9</v>
      </c>
    </row>
    <row r="29" spans="1:5" ht="16.5" customHeight="1" x14ac:dyDescent="0.3">
      <c r="A29" s="17">
        <v>6</v>
      </c>
      <c r="B29" s="21">
        <v>9944047</v>
      </c>
      <c r="C29" s="540">
        <v>57499</v>
      </c>
      <c r="D29" s="535">
        <v>1.1000000000000001</v>
      </c>
      <c r="E29" s="538">
        <v>6.9</v>
      </c>
    </row>
    <row r="30" spans="1:5" ht="16.5" customHeight="1" x14ac:dyDescent="0.3">
      <c r="A30" s="23" t="s">
        <v>18</v>
      </c>
      <c r="B30" s="24">
        <f>AVERAGE(B24:B29)</f>
        <v>9898949.333333334</v>
      </c>
      <c r="C30" s="541">
        <f>AVERAGE(C24:C29)</f>
        <v>57458.85</v>
      </c>
      <c r="D30" s="26">
        <f>AVERAGE(D24:D29)</f>
        <v>1.0999999999999999</v>
      </c>
      <c r="E30" s="534">
        <f>AVERAGE(E24:E29)</f>
        <v>6.8999999999999995</v>
      </c>
    </row>
    <row r="31" spans="1:5" ht="16.5" customHeight="1" x14ac:dyDescent="0.3">
      <c r="A31" s="27" t="s">
        <v>19</v>
      </c>
      <c r="B31" s="28">
        <f>(STDEV(B24:B29)/B30)</f>
        <v>3.1086731287331918E-3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3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77" t="s">
        <v>138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8" customFormat="1" ht="15.75" customHeight="1" x14ac:dyDescent="0.3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77" t="s">
        <v>138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5">
      <c r="A58" s="41"/>
      <c r="B58" s="338"/>
      <c r="D58" s="43"/>
      <c r="F58" s="44"/>
      <c r="G58" s="44"/>
    </row>
    <row r="59" spans="1:7" ht="15" customHeight="1" x14ac:dyDescent="0.3">
      <c r="B59" s="480" t="s">
        <v>25</v>
      </c>
      <c r="C59" s="48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75" t="s">
        <v>132</v>
      </c>
      <c r="C60" s="475" t="s">
        <v>133</v>
      </c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B32" sqref="B3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79" t="s">
        <v>0</v>
      </c>
      <c r="B15" s="479"/>
      <c r="C15" s="479"/>
      <c r="D15" s="479"/>
      <c r="E15" s="47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476" t="s">
        <v>136</v>
      </c>
      <c r="D17" s="9"/>
      <c r="E17" s="10"/>
    </row>
    <row r="18" spans="1:6" ht="16.5" customHeight="1" x14ac:dyDescent="0.3">
      <c r="A18" s="11" t="s">
        <v>4</v>
      </c>
      <c r="B18" s="47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99.54</v>
      </c>
      <c r="C19" s="10"/>
      <c r="D19" s="10"/>
      <c r="E19" s="10"/>
    </row>
    <row r="20" spans="1:6" ht="16.5" customHeight="1" x14ac:dyDescent="0.3">
      <c r="A20" s="7" t="s">
        <v>8</v>
      </c>
      <c r="B20" s="12">
        <v>31.17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B20/50*10/100</f>
        <v>6.2340000000000007E-2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533" t="s">
        <v>17</v>
      </c>
    </row>
    <row r="24" spans="1:6" ht="16.5" customHeight="1" x14ac:dyDescent="0.3">
      <c r="A24" s="17">
        <v>1</v>
      </c>
      <c r="B24" s="18">
        <v>13216853</v>
      </c>
      <c r="C24" s="539">
        <v>105740.3</v>
      </c>
      <c r="D24" s="535">
        <v>1.1000000000000001</v>
      </c>
      <c r="E24" s="536">
        <v>11.3</v>
      </c>
    </row>
    <row r="25" spans="1:6" ht="16.5" customHeight="1" x14ac:dyDescent="0.3">
      <c r="A25" s="17">
        <v>2</v>
      </c>
      <c r="B25" s="18">
        <v>13198336</v>
      </c>
      <c r="C25" s="539">
        <v>107963</v>
      </c>
      <c r="D25" s="535">
        <v>1.2</v>
      </c>
      <c r="E25" s="537">
        <v>11.3</v>
      </c>
    </row>
    <row r="26" spans="1:6" ht="16.5" customHeight="1" x14ac:dyDescent="0.3">
      <c r="A26" s="17">
        <v>3</v>
      </c>
      <c r="B26" s="18">
        <v>13228453</v>
      </c>
      <c r="C26" s="539">
        <v>107365</v>
      </c>
      <c r="D26" s="535">
        <v>1.1000000000000001</v>
      </c>
      <c r="E26" s="537">
        <v>11.3</v>
      </c>
    </row>
    <row r="27" spans="1:6" ht="16.5" customHeight="1" x14ac:dyDescent="0.3">
      <c r="A27" s="17">
        <v>4</v>
      </c>
      <c r="B27" s="18">
        <v>13273123</v>
      </c>
      <c r="C27" s="539">
        <v>108352.6</v>
      </c>
      <c r="D27" s="535">
        <v>1.2</v>
      </c>
      <c r="E27" s="537">
        <v>11.3</v>
      </c>
    </row>
    <row r="28" spans="1:6" ht="16.5" customHeight="1" x14ac:dyDescent="0.3">
      <c r="A28" s="17">
        <v>5</v>
      </c>
      <c r="B28" s="18">
        <v>13195424</v>
      </c>
      <c r="C28" s="539">
        <v>113624.8</v>
      </c>
      <c r="D28" s="535">
        <v>1.2</v>
      </c>
      <c r="E28" s="537">
        <v>11.3</v>
      </c>
    </row>
    <row r="29" spans="1:6" ht="16.5" customHeight="1" x14ac:dyDescent="0.3">
      <c r="A29" s="17">
        <v>6</v>
      </c>
      <c r="B29" s="21">
        <v>13310433</v>
      </c>
      <c r="C29" s="540">
        <v>113126.7</v>
      </c>
      <c r="D29" s="542">
        <v>1.1000000000000001</v>
      </c>
      <c r="E29" s="538">
        <v>11.3</v>
      </c>
    </row>
    <row r="30" spans="1:6" ht="16.5" customHeight="1" x14ac:dyDescent="0.3">
      <c r="A30" s="23" t="s">
        <v>18</v>
      </c>
      <c r="B30" s="24">
        <f>AVERAGE(B24:B29)</f>
        <v>13237103.666666666</v>
      </c>
      <c r="C30" s="541">
        <f>AVERAGE(C24:C29)</f>
        <v>109362.06666666667</v>
      </c>
      <c r="D30" s="26">
        <f>AVERAGE(D24:D29)</f>
        <v>1.1500000000000001</v>
      </c>
      <c r="E30" s="534">
        <f>AVERAGE(E24:E29)</f>
        <v>11.299999999999999</v>
      </c>
    </row>
    <row r="31" spans="1:6" ht="16.5" customHeight="1" x14ac:dyDescent="0.3">
      <c r="A31" s="27" t="s">
        <v>19</v>
      </c>
      <c r="B31" s="28">
        <f>(STDEV(B24:B29)/B30)</f>
        <v>3.445331759886529E-3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477" t="s">
        <v>138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477" t="s">
        <v>137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80" t="s">
        <v>25</v>
      </c>
      <c r="C59" s="48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75" t="s">
        <v>132</v>
      </c>
      <c r="C60" s="475" t="s">
        <v>133</v>
      </c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3" workbookViewId="0">
      <selection activeCell="C45" sqref="C4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84" t="s">
        <v>30</v>
      </c>
      <c r="B11" s="485"/>
      <c r="C11" s="485"/>
      <c r="D11" s="485"/>
      <c r="E11" s="485"/>
      <c r="F11" s="486"/>
      <c r="G11" s="91"/>
    </row>
    <row r="12" spans="1:7" ht="16.5" customHeight="1" x14ac:dyDescent="0.3">
      <c r="A12" s="483" t="s">
        <v>31</v>
      </c>
      <c r="B12" s="483"/>
      <c r="C12" s="483"/>
      <c r="D12" s="483"/>
      <c r="E12" s="483"/>
      <c r="F12" s="483"/>
      <c r="G12" s="90"/>
    </row>
    <row r="14" spans="1:7" ht="16.5" customHeight="1" x14ac:dyDescent="0.3">
      <c r="A14" s="488" t="s">
        <v>32</v>
      </c>
      <c r="B14" s="488"/>
      <c r="C14" s="60" t="s">
        <v>5</v>
      </c>
    </row>
    <row r="15" spans="1:7" ht="16.5" customHeight="1" x14ac:dyDescent="0.3">
      <c r="A15" s="488" t="s">
        <v>33</v>
      </c>
      <c r="B15" s="488"/>
      <c r="C15" s="60" t="s">
        <v>7</v>
      </c>
    </row>
    <row r="16" spans="1:7" ht="16.5" customHeight="1" x14ac:dyDescent="0.3">
      <c r="A16" s="488" t="s">
        <v>34</v>
      </c>
      <c r="B16" s="488"/>
      <c r="C16" s="60" t="s">
        <v>9</v>
      </c>
    </row>
    <row r="17" spans="1:5" ht="16.5" customHeight="1" x14ac:dyDescent="0.3">
      <c r="A17" s="488" t="s">
        <v>35</v>
      </c>
      <c r="B17" s="488"/>
      <c r="C17" s="60" t="s">
        <v>11</v>
      </c>
    </row>
    <row r="18" spans="1:5" ht="16.5" customHeight="1" x14ac:dyDescent="0.3">
      <c r="A18" s="488" t="s">
        <v>36</v>
      </c>
      <c r="B18" s="488"/>
      <c r="C18" s="97" t="s">
        <v>12</v>
      </c>
    </row>
    <row r="19" spans="1:5" ht="16.5" customHeight="1" x14ac:dyDescent="0.3">
      <c r="A19" s="488" t="s">
        <v>37</v>
      </c>
      <c r="B19" s="48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3" t="s">
        <v>1</v>
      </c>
      <c r="B21" s="483"/>
      <c r="C21" s="59" t="s">
        <v>38</v>
      </c>
      <c r="D21" s="66"/>
    </row>
    <row r="22" spans="1:5" ht="15.75" customHeight="1" x14ac:dyDescent="0.3">
      <c r="A22" s="487"/>
      <c r="B22" s="487"/>
      <c r="C22" s="57"/>
      <c r="D22" s="487"/>
      <c r="E22" s="487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1003.66</v>
      </c>
      <c r="D24" s="87">
        <f t="shared" ref="D24:D43" si="0">(C24-$C$46)/$C$46</f>
        <v>-1.4875607997718882E-2</v>
      </c>
      <c r="E24" s="53"/>
    </row>
    <row r="25" spans="1:5" ht="15.75" customHeight="1" x14ac:dyDescent="0.3">
      <c r="C25" s="95">
        <v>1027.9100000000001</v>
      </c>
      <c r="D25" s="88">
        <f t="shared" si="0"/>
        <v>8.9265426370134272E-3</v>
      </c>
      <c r="E25" s="53"/>
    </row>
    <row r="26" spans="1:5" ht="15.75" customHeight="1" x14ac:dyDescent="0.3">
      <c r="C26" s="95">
        <v>1016.66</v>
      </c>
      <c r="D26" s="88">
        <f t="shared" si="0"/>
        <v>-2.1156921935325495E-3</v>
      </c>
      <c r="E26" s="53"/>
    </row>
    <row r="27" spans="1:5" ht="15.75" customHeight="1" x14ac:dyDescent="0.3">
      <c r="C27" s="95">
        <v>1012.8</v>
      </c>
      <c r="D27" s="88">
        <f t="shared" si="0"/>
        <v>-5.904405655390966E-3</v>
      </c>
      <c r="E27" s="53"/>
    </row>
    <row r="28" spans="1:5" ht="15.75" customHeight="1" x14ac:dyDescent="0.3">
      <c r="C28" s="95">
        <v>1018.02</v>
      </c>
      <c r="D28" s="88">
        <f t="shared" si="0"/>
        <v>-7.8080869401765804E-4</v>
      </c>
      <c r="E28" s="53"/>
    </row>
    <row r="29" spans="1:5" ht="15.75" customHeight="1" x14ac:dyDescent="0.3">
      <c r="C29" s="95">
        <v>1041.18</v>
      </c>
      <c r="D29" s="88">
        <f t="shared" si="0"/>
        <v>2.1951472077132841E-2</v>
      </c>
      <c r="E29" s="53"/>
    </row>
    <row r="30" spans="1:5" ht="15.75" customHeight="1" x14ac:dyDescent="0.3">
      <c r="C30" s="95">
        <v>1026.9100000000001</v>
      </c>
      <c r="D30" s="88">
        <f t="shared" si="0"/>
        <v>7.9450106520760171E-3</v>
      </c>
      <c r="E30" s="53"/>
    </row>
    <row r="31" spans="1:5" ht="15.75" customHeight="1" x14ac:dyDescent="0.3">
      <c r="C31" s="95">
        <v>1036.53</v>
      </c>
      <c r="D31" s="88">
        <f t="shared" si="0"/>
        <v>1.7387348347173797E-2</v>
      </c>
      <c r="E31" s="53"/>
    </row>
    <row r="32" spans="1:5" ht="15.75" customHeight="1" x14ac:dyDescent="0.3">
      <c r="C32" s="95">
        <v>1022.69</v>
      </c>
      <c r="D32" s="88">
        <f t="shared" si="0"/>
        <v>3.8029456756401192E-3</v>
      </c>
      <c r="E32" s="53"/>
    </row>
    <row r="33" spans="1:7" ht="15.75" customHeight="1" x14ac:dyDescent="0.3">
      <c r="C33" s="95">
        <v>1022.05</v>
      </c>
      <c r="D33" s="88">
        <f t="shared" si="0"/>
        <v>3.1747652052800785E-3</v>
      </c>
      <c r="E33" s="53"/>
    </row>
    <row r="34" spans="1:7" ht="15.75" customHeight="1" x14ac:dyDescent="0.3">
      <c r="C34" s="95">
        <v>1014.53</v>
      </c>
      <c r="D34" s="88">
        <f t="shared" si="0"/>
        <v>-4.2063553214492285E-3</v>
      </c>
      <c r="E34" s="53"/>
    </row>
    <row r="35" spans="1:7" ht="15.75" customHeight="1" x14ac:dyDescent="0.3">
      <c r="C35" s="95">
        <v>1016.81</v>
      </c>
      <c r="D35" s="88">
        <f t="shared" si="0"/>
        <v>-1.9684623957919602E-3</v>
      </c>
      <c r="E35" s="53"/>
    </row>
    <row r="36" spans="1:7" ht="15.75" customHeight="1" x14ac:dyDescent="0.3">
      <c r="C36" s="95">
        <v>1015.77</v>
      </c>
      <c r="D36" s="88">
        <f t="shared" si="0"/>
        <v>-2.9892556601268309E-3</v>
      </c>
      <c r="E36" s="53"/>
    </row>
    <row r="37" spans="1:7" ht="15.75" customHeight="1" x14ac:dyDescent="0.3">
      <c r="C37" s="95">
        <v>1010.34</v>
      </c>
      <c r="D37" s="88">
        <f t="shared" si="0"/>
        <v>-8.3189743383369191E-3</v>
      </c>
      <c r="E37" s="53"/>
    </row>
    <row r="38" spans="1:7" ht="15.75" customHeight="1" x14ac:dyDescent="0.3">
      <c r="C38" s="95">
        <v>1014.9</v>
      </c>
      <c r="D38" s="88">
        <f t="shared" si="0"/>
        <v>-3.8431884870223825E-3</v>
      </c>
      <c r="E38" s="53"/>
    </row>
    <row r="39" spans="1:7" ht="15.75" customHeight="1" x14ac:dyDescent="0.3">
      <c r="C39" s="95">
        <v>1011.38</v>
      </c>
      <c r="D39" s="88">
        <f t="shared" si="0"/>
        <v>-7.2981810740020484E-3</v>
      </c>
      <c r="E39" s="53"/>
    </row>
    <row r="40" spans="1:7" ht="15.75" customHeight="1" x14ac:dyDescent="0.3">
      <c r="C40" s="95">
        <v>1010.3</v>
      </c>
      <c r="D40" s="88">
        <f t="shared" si="0"/>
        <v>-8.3582356177344923E-3</v>
      </c>
      <c r="E40" s="53"/>
    </row>
    <row r="41" spans="1:7" ht="15.75" customHeight="1" x14ac:dyDescent="0.3">
      <c r="C41" s="95">
        <v>1011.21</v>
      </c>
      <c r="D41" s="88">
        <f t="shared" si="0"/>
        <v>-7.4650415114413679E-3</v>
      </c>
      <c r="E41" s="53"/>
    </row>
    <row r="42" spans="1:7" ht="15.75" customHeight="1" x14ac:dyDescent="0.3">
      <c r="C42" s="95">
        <v>1020.18</v>
      </c>
      <c r="D42" s="88">
        <f t="shared" si="0"/>
        <v>1.3393003934471168E-3</v>
      </c>
      <c r="E42" s="53"/>
    </row>
    <row r="43" spans="1:7" ht="16.5" customHeight="1" x14ac:dyDescent="0.3">
      <c r="C43" s="96">
        <v>1022.48</v>
      </c>
      <c r="D43" s="89">
        <f t="shared" si="0"/>
        <v>3.5968239588032272E-3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20376.309999999998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1018.8154999999999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81">
        <f>C46</f>
        <v>1018.8154999999999</v>
      </c>
      <c r="C49" s="93">
        <f>-IF(C46&lt;=80,10%,IF(C46&lt;250,7.5%,5%))</f>
        <v>-0.05</v>
      </c>
      <c r="D49" s="81">
        <f>IF(C46&lt;=80,C46*0.9,IF(C46&lt;250,C46*0.925,C46*0.95))</f>
        <v>967.8747249999999</v>
      </c>
    </row>
    <row r="50" spans="1:6" ht="17.25" customHeight="1" x14ac:dyDescent="0.3">
      <c r="B50" s="482"/>
      <c r="C50" s="94">
        <f>IF(C46&lt;=80, 10%, IF(C46&lt;250, 7.5%, 5%))</f>
        <v>0.05</v>
      </c>
      <c r="D50" s="81">
        <f>IF(C46&lt;=80, C46*1.1, IF(C46&lt;250, C46*1.075, C46*1.05))</f>
        <v>1069.756275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60" zoomScaleNormal="40" zoomScalePageLayoutView="51" workbookViewId="0">
      <selection activeCell="B18" sqref="B18:E1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21" t="s">
        <v>44</v>
      </c>
      <c r="B1" s="521"/>
      <c r="C1" s="521"/>
      <c r="D1" s="521"/>
      <c r="E1" s="521"/>
      <c r="F1" s="521"/>
      <c r="G1" s="521"/>
      <c r="H1" s="521"/>
      <c r="I1" s="521"/>
    </row>
    <row r="2" spans="1:9" ht="18.75" customHeight="1" x14ac:dyDescent="0.3">
      <c r="A2" s="521"/>
      <c r="B2" s="521"/>
      <c r="C2" s="521"/>
      <c r="D2" s="521"/>
      <c r="E2" s="521"/>
      <c r="F2" s="521"/>
      <c r="G2" s="521"/>
      <c r="H2" s="521"/>
      <c r="I2" s="521"/>
    </row>
    <row r="3" spans="1:9" ht="18.75" customHeight="1" x14ac:dyDescent="0.3">
      <c r="A3" s="521"/>
      <c r="B3" s="521"/>
      <c r="C3" s="521"/>
      <c r="D3" s="521"/>
      <c r="E3" s="521"/>
      <c r="F3" s="521"/>
      <c r="G3" s="521"/>
      <c r="H3" s="521"/>
      <c r="I3" s="521"/>
    </row>
    <row r="4" spans="1:9" ht="18.75" customHeight="1" x14ac:dyDescent="0.3">
      <c r="A4" s="521"/>
      <c r="B4" s="521"/>
      <c r="C4" s="521"/>
      <c r="D4" s="521"/>
      <c r="E4" s="521"/>
      <c r="F4" s="521"/>
      <c r="G4" s="521"/>
      <c r="H4" s="521"/>
      <c r="I4" s="521"/>
    </row>
    <row r="5" spans="1:9" ht="18.75" customHeight="1" x14ac:dyDescent="0.3">
      <c r="A5" s="521"/>
      <c r="B5" s="521"/>
      <c r="C5" s="521"/>
      <c r="D5" s="521"/>
      <c r="E5" s="521"/>
      <c r="F5" s="521"/>
      <c r="G5" s="521"/>
      <c r="H5" s="521"/>
      <c r="I5" s="521"/>
    </row>
    <row r="6" spans="1:9" ht="18.75" customHeight="1" x14ac:dyDescent="0.3">
      <c r="A6" s="521"/>
      <c r="B6" s="521"/>
      <c r="C6" s="521"/>
      <c r="D6" s="521"/>
      <c r="E6" s="521"/>
      <c r="F6" s="521"/>
      <c r="G6" s="521"/>
      <c r="H6" s="521"/>
      <c r="I6" s="521"/>
    </row>
    <row r="7" spans="1:9" ht="18.75" customHeight="1" x14ac:dyDescent="0.3">
      <c r="A7" s="521"/>
      <c r="B7" s="521"/>
      <c r="C7" s="521"/>
      <c r="D7" s="521"/>
      <c r="E7" s="521"/>
      <c r="F7" s="521"/>
      <c r="G7" s="521"/>
      <c r="H7" s="521"/>
      <c r="I7" s="521"/>
    </row>
    <row r="8" spans="1:9" x14ac:dyDescent="0.3">
      <c r="A8" s="522" t="s">
        <v>45</v>
      </c>
      <c r="B8" s="522"/>
      <c r="C8" s="522"/>
      <c r="D8" s="522"/>
      <c r="E8" s="522"/>
      <c r="F8" s="522"/>
      <c r="G8" s="522"/>
      <c r="H8" s="522"/>
      <c r="I8" s="522"/>
    </row>
    <row r="9" spans="1:9" x14ac:dyDescent="0.3">
      <c r="A9" s="522"/>
      <c r="B9" s="522"/>
      <c r="C9" s="522"/>
      <c r="D9" s="522"/>
      <c r="E9" s="522"/>
      <c r="F9" s="522"/>
      <c r="G9" s="522"/>
      <c r="H9" s="522"/>
      <c r="I9" s="522"/>
    </row>
    <row r="10" spans="1:9" x14ac:dyDescent="0.3">
      <c r="A10" s="522"/>
      <c r="B10" s="522"/>
      <c r="C10" s="522"/>
      <c r="D10" s="522"/>
      <c r="E10" s="522"/>
      <c r="F10" s="522"/>
      <c r="G10" s="522"/>
      <c r="H10" s="522"/>
      <c r="I10" s="522"/>
    </row>
    <row r="11" spans="1:9" x14ac:dyDescent="0.3">
      <c r="A11" s="522"/>
      <c r="B11" s="522"/>
      <c r="C11" s="522"/>
      <c r="D11" s="522"/>
      <c r="E11" s="522"/>
      <c r="F11" s="522"/>
      <c r="G11" s="522"/>
      <c r="H11" s="522"/>
      <c r="I11" s="522"/>
    </row>
    <row r="12" spans="1:9" x14ac:dyDescent="0.3">
      <c r="A12" s="522"/>
      <c r="B12" s="522"/>
      <c r="C12" s="522"/>
      <c r="D12" s="522"/>
      <c r="E12" s="522"/>
      <c r="F12" s="522"/>
      <c r="G12" s="522"/>
      <c r="H12" s="522"/>
      <c r="I12" s="522"/>
    </row>
    <row r="13" spans="1:9" x14ac:dyDescent="0.3">
      <c r="A13" s="522"/>
      <c r="B13" s="522"/>
      <c r="C13" s="522"/>
      <c r="D13" s="522"/>
      <c r="E13" s="522"/>
      <c r="F13" s="522"/>
      <c r="G13" s="522"/>
      <c r="H13" s="522"/>
      <c r="I13" s="522"/>
    </row>
    <row r="14" spans="1:9" x14ac:dyDescent="0.3">
      <c r="A14" s="522"/>
      <c r="B14" s="522"/>
      <c r="C14" s="522"/>
      <c r="D14" s="522"/>
      <c r="E14" s="522"/>
      <c r="F14" s="522"/>
      <c r="G14" s="522"/>
      <c r="H14" s="522"/>
      <c r="I14" s="522"/>
    </row>
    <row r="15" spans="1:9" ht="19.5" customHeight="1" x14ac:dyDescent="0.35">
      <c r="A15" s="98"/>
    </row>
    <row r="16" spans="1:9" ht="19.5" customHeight="1" x14ac:dyDescent="0.35">
      <c r="A16" s="493" t="s">
        <v>30</v>
      </c>
      <c r="B16" s="494"/>
      <c r="C16" s="494"/>
      <c r="D16" s="494"/>
      <c r="E16" s="494"/>
      <c r="F16" s="494"/>
      <c r="G16" s="494"/>
      <c r="H16" s="495"/>
    </row>
    <row r="17" spans="1:14" ht="20.25" customHeight="1" x14ac:dyDescent="0.3">
      <c r="A17" s="496" t="s">
        <v>46</v>
      </c>
      <c r="B17" s="496"/>
      <c r="C17" s="496"/>
      <c r="D17" s="496"/>
      <c r="E17" s="496"/>
      <c r="F17" s="496"/>
      <c r="G17" s="496"/>
      <c r="H17" s="496"/>
    </row>
    <row r="18" spans="1:14" ht="26.25" customHeight="1" x14ac:dyDescent="0.5">
      <c r="A18" s="100" t="s">
        <v>32</v>
      </c>
      <c r="B18" s="543" t="s">
        <v>140</v>
      </c>
      <c r="C18" s="543"/>
      <c r="D18" s="246"/>
      <c r="E18" s="101"/>
      <c r="F18" s="102"/>
      <c r="G18" s="102"/>
      <c r="H18" s="102"/>
    </row>
    <row r="19" spans="1:14" ht="26.25" customHeight="1" x14ac:dyDescent="0.5">
      <c r="A19" s="100" t="s">
        <v>33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34</v>
      </c>
      <c r="B20" s="544" t="s">
        <v>141</v>
      </c>
      <c r="C20" s="544"/>
      <c r="D20" s="102"/>
      <c r="E20" s="102"/>
      <c r="F20" s="102"/>
      <c r="G20" s="102"/>
      <c r="H20" s="102"/>
    </row>
    <row r="21" spans="1:14" ht="26.25" customHeight="1" x14ac:dyDescent="0.5">
      <c r="A21" s="100" t="s">
        <v>35</v>
      </c>
      <c r="B21" s="497" t="s">
        <v>142</v>
      </c>
      <c r="C21" s="497"/>
      <c r="D21" s="497"/>
      <c r="E21" s="497"/>
      <c r="F21" s="497"/>
      <c r="G21" s="497"/>
      <c r="H21" s="497"/>
      <c r="I21" s="104"/>
    </row>
    <row r="22" spans="1:14" ht="26.25" customHeight="1" x14ac:dyDescent="0.5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37</v>
      </c>
      <c r="B23" s="105">
        <v>43186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491" t="s">
        <v>130</v>
      </c>
      <c r="C26" s="492"/>
    </row>
    <row r="27" spans="1:14" ht="26.25" customHeight="1" x14ac:dyDescent="0.5">
      <c r="A27" s="109" t="s">
        <v>47</v>
      </c>
      <c r="B27" s="498" t="s">
        <v>134</v>
      </c>
      <c r="C27" s="499"/>
    </row>
    <row r="28" spans="1:14" ht="27" customHeight="1" x14ac:dyDescent="0.45">
      <c r="A28" s="109" t="s">
        <v>6</v>
      </c>
      <c r="B28" s="110">
        <v>99.8</v>
      </c>
    </row>
    <row r="29" spans="1:14" s="14" customFormat="1" ht="27" customHeight="1" x14ac:dyDescent="0.5">
      <c r="A29" s="109" t="s">
        <v>48</v>
      </c>
      <c r="B29" s="111">
        <v>0</v>
      </c>
      <c r="C29" s="500" t="s">
        <v>49</v>
      </c>
      <c r="D29" s="501"/>
      <c r="E29" s="501"/>
      <c r="F29" s="501"/>
      <c r="G29" s="502"/>
      <c r="I29" s="112"/>
      <c r="J29" s="112"/>
      <c r="K29" s="112"/>
      <c r="L29" s="112"/>
    </row>
    <row r="30" spans="1:14" s="14" customFormat="1" ht="19.5" customHeight="1" x14ac:dyDescent="0.35">
      <c r="A30" s="109" t="s">
        <v>50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51</v>
      </c>
      <c r="B31" s="116">
        <v>1</v>
      </c>
      <c r="C31" s="503" t="s">
        <v>52</v>
      </c>
      <c r="D31" s="504"/>
      <c r="E31" s="504"/>
      <c r="F31" s="504"/>
      <c r="G31" s="504"/>
      <c r="H31" s="505"/>
      <c r="I31" s="112"/>
      <c r="J31" s="112"/>
      <c r="K31" s="112"/>
      <c r="L31" s="112"/>
    </row>
    <row r="32" spans="1:14" s="14" customFormat="1" ht="27" customHeight="1" x14ac:dyDescent="0.45">
      <c r="A32" s="109" t="s">
        <v>53</v>
      </c>
      <c r="B32" s="116">
        <v>1</v>
      </c>
      <c r="C32" s="503" t="s">
        <v>54</v>
      </c>
      <c r="D32" s="504"/>
      <c r="E32" s="504"/>
      <c r="F32" s="504"/>
      <c r="G32" s="504"/>
      <c r="H32" s="5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57</v>
      </c>
      <c r="B36" s="123">
        <v>50</v>
      </c>
      <c r="C36" s="99"/>
      <c r="D36" s="506" t="s">
        <v>58</v>
      </c>
      <c r="E36" s="507"/>
      <c r="F36" s="506" t="s">
        <v>59</v>
      </c>
      <c r="G36" s="508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65</v>
      </c>
      <c r="B38" s="125">
        <v>100</v>
      </c>
      <c r="C38" s="131">
        <v>1</v>
      </c>
      <c r="D38" s="132">
        <v>9856452</v>
      </c>
      <c r="E38" s="133">
        <f>IF(ISBLANK(D38),"-",$D$48/$D$45*D38)</f>
        <v>9243055.1322579645</v>
      </c>
      <c r="F38" s="132">
        <v>9194704</v>
      </c>
      <c r="G38" s="134">
        <f>IF(ISBLANK(F38),"-",$D$48/$F$45*F38)</f>
        <v>9292113.2229158264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66</v>
      </c>
      <c r="B39" s="125">
        <v>1</v>
      </c>
      <c r="C39" s="136">
        <v>2</v>
      </c>
      <c r="D39" s="137">
        <v>9872653</v>
      </c>
      <c r="E39" s="138">
        <f>IF(ISBLANK(D39),"-",$D$48/$D$45*D39)</f>
        <v>9258247.8949475922</v>
      </c>
      <c r="F39" s="137">
        <v>9203057</v>
      </c>
      <c r="G39" s="139">
        <f>IF(ISBLANK(F39),"-",$D$48/$F$45*F39)</f>
        <v>9300554.7150781658</v>
      </c>
      <c r="I39" s="510">
        <f>ABS((F43/D43*D42)-F42)/D42</f>
        <v>7.0486189241247398E-3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67</v>
      </c>
      <c r="B40" s="125">
        <v>1</v>
      </c>
      <c r="C40" s="136">
        <v>3</v>
      </c>
      <c r="D40" s="137">
        <v>9812837</v>
      </c>
      <c r="E40" s="138">
        <f>IF(ISBLANK(D40),"-",$D$48/$D$45*D40)</f>
        <v>9202154.4258381054</v>
      </c>
      <c r="F40" s="137">
        <v>9223511</v>
      </c>
      <c r="G40" s="139">
        <f>IF(ISBLANK(F40),"-",$D$48/$F$45*F40)</f>
        <v>9321225.4059303682</v>
      </c>
      <c r="I40" s="510"/>
      <c r="L40" s="117"/>
      <c r="M40" s="117"/>
      <c r="N40" s="140"/>
    </row>
    <row r="41" spans="1:14" ht="27" customHeight="1" x14ac:dyDescent="0.45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69</v>
      </c>
      <c r="B42" s="125">
        <v>1</v>
      </c>
      <c r="C42" s="146" t="s">
        <v>70</v>
      </c>
      <c r="D42" s="147">
        <f>AVERAGE(D38:D41)</f>
        <v>9847314</v>
      </c>
      <c r="E42" s="148">
        <f>AVERAGE(E38:E41)</f>
        <v>9234485.8176812213</v>
      </c>
      <c r="F42" s="147">
        <f>AVERAGE(F38:F41)</f>
        <v>9207090.666666666</v>
      </c>
      <c r="G42" s="149">
        <f>AVERAGE(G38:G41)</f>
        <v>9304631.1146414522</v>
      </c>
      <c r="H42" s="150"/>
    </row>
    <row r="43" spans="1:14" ht="26.25" customHeight="1" x14ac:dyDescent="0.45">
      <c r="A43" s="124" t="s">
        <v>71</v>
      </c>
      <c r="B43" s="125">
        <v>1</v>
      </c>
      <c r="C43" s="151" t="s">
        <v>72</v>
      </c>
      <c r="D43" s="152">
        <v>21.37</v>
      </c>
      <c r="E43" s="140"/>
      <c r="F43" s="152">
        <v>19.829999999999998</v>
      </c>
      <c r="H43" s="150"/>
    </row>
    <row r="44" spans="1:14" ht="26.25" customHeight="1" x14ac:dyDescent="0.45">
      <c r="A44" s="124" t="s">
        <v>73</v>
      </c>
      <c r="B44" s="125">
        <v>1</v>
      </c>
      <c r="C44" s="153" t="s">
        <v>74</v>
      </c>
      <c r="D44" s="154">
        <f>D43*$B$34</f>
        <v>21.37</v>
      </c>
      <c r="E44" s="155"/>
      <c r="F44" s="154">
        <f>F43*$B$34</f>
        <v>19.829999999999998</v>
      </c>
      <c r="H44" s="150"/>
    </row>
    <row r="45" spans="1:14" ht="19.5" customHeight="1" x14ac:dyDescent="0.35">
      <c r="A45" s="124" t="s">
        <v>75</v>
      </c>
      <c r="B45" s="156">
        <f>(B44/B43)*(B42/B41)*(B40/B39)*(B38/B37)*B36</f>
        <v>500</v>
      </c>
      <c r="C45" s="153" t="s">
        <v>76</v>
      </c>
      <c r="D45" s="157">
        <f>D44*$B$30/100</f>
        <v>21.327260000000003</v>
      </c>
      <c r="E45" s="158"/>
      <c r="F45" s="157">
        <f>F44*$B$30/100</f>
        <v>19.79034</v>
      </c>
      <c r="H45" s="150"/>
    </row>
    <row r="46" spans="1:14" ht="19.5" customHeight="1" x14ac:dyDescent="0.35">
      <c r="A46" s="511" t="s">
        <v>77</v>
      </c>
      <c r="B46" s="512"/>
      <c r="C46" s="153" t="s">
        <v>78</v>
      </c>
      <c r="D46" s="159">
        <f>D45/$B$45</f>
        <v>4.2654520000000008E-2</v>
      </c>
      <c r="E46" s="160"/>
      <c r="F46" s="161">
        <f>F45/$B$45</f>
        <v>3.958068E-2</v>
      </c>
      <c r="H46" s="150"/>
    </row>
    <row r="47" spans="1:14" ht="27" customHeight="1" x14ac:dyDescent="0.45">
      <c r="A47" s="513"/>
      <c r="B47" s="514"/>
      <c r="C47" s="162" t="s">
        <v>79</v>
      </c>
      <c r="D47" s="163">
        <v>0.04</v>
      </c>
      <c r="E47" s="164"/>
      <c r="F47" s="160"/>
      <c r="H47" s="150"/>
    </row>
    <row r="48" spans="1:14" ht="18" x14ac:dyDescent="0.35">
      <c r="C48" s="165" t="s">
        <v>80</v>
      </c>
      <c r="D48" s="157">
        <f>D47*$B$45</f>
        <v>20</v>
      </c>
      <c r="F48" s="166"/>
      <c r="H48" s="150"/>
    </row>
    <row r="49" spans="1:12" ht="19.5" customHeight="1" x14ac:dyDescent="0.35">
      <c r="C49" s="167" t="s">
        <v>81</v>
      </c>
      <c r="D49" s="168">
        <f>D48/B34</f>
        <v>20</v>
      </c>
      <c r="F49" s="166"/>
      <c r="H49" s="150"/>
    </row>
    <row r="50" spans="1:12" ht="18" x14ac:dyDescent="0.35">
      <c r="C50" s="122" t="s">
        <v>82</v>
      </c>
      <c r="D50" s="169">
        <f>AVERAGE(E38:E41,G38:G41)</f>
        <v>9269558.4661613386</v>
      </c>
      <c r="F50" s="170"/>
      <c r="H50" s="150"/>
    </row>
    <row r="51" spans="1:12" ht="18" x14ac:dyDescent="0.35">
      <c r="C51" s="124" t="s">
        <v>83</v>
      </c>
      <c r="D51" s="171">
        <f>STDEV(E38:E41,G38:G41)/D50</f>
        <v>4.7055020607271059E-3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84</v>
      </c>
    </row>
    <row r="55" spans="1:12" ht="18" x14ac:dyDescent="0.35">
      <c r="A55" s="99" t="s">
        <v>85</v>
      </c>
      <c r="B55" s="176" t="str">
        <f>B21</f>
        <v xml:space="preserve">Each film coated tablet contains Tenofovir Disoproxil Fumarate 300 mg equivalent to Tenofovir Disoproxil 245 mg and Emtricitabine 200mg  </v>
      </c>
    </row>
    <row r="56" spans="1:12" ht="26.25" customHeight="1" x14ac:dyDescent="0.45">
      <c r="A56" s="177" t="s">
        <v>86</v>
      </c>
      <c r="B56" s="178">
        <v>200</v>
      </c>
      <c r="C56" s="99" t="str">
        <f>B20</f>
        <v>Emtricitabine</v>
      </c>
      <c r="H56" s="179"/>
    </row>
    <row r="57" spans="1:12" ht="18" x14ac:dyDescent="0.35">
      <c r="A57" s="176" t="s">
        <v>87</v>
      </c>
      <c r="B57" s="247">
        <f>Uniformity!C46</f>
        <v>1018.8154999999999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5">
      <c r="A60" s="124" t="s">
        <v>92</v>
      </c>
      <c r="B60" s="125">
        <v>2</v>
      </c>
      <c r="C60" s="515" t="s">
        <v>93</v>
      </c>
      <c r="D60" s="518">
        <v>1019.67</v>
      </c>
      <c r="E60" s="182">
        <v>1</v>
      </c>
      <c r="F60" s="183">
        <v>8489653</v>
      </c>
      <c r="G60" s="248">
        <f>IF(ISBLANK(F60),"-",(F60/$D$50*$D$47*$B$68)*($B$57/$D$60))</f>
        <v>183.01925736897891</v>
      </c>
      <c r="H60" s="266">
        <f t="shared" ref="H60:H71" si="0">IF(ISBLANK(F60),"-",(G60/$B$56)*100)</f>
        <v>91.509628684489456</v>
      </c>
      <c r="L60" s="112"/>
    </row>
    <row r="61" spans="1:12" s="14" customFormat="1" ht="26.25" customHeight="1" x14ac:dyDescent="0.45">
      <c r="A61" s="124" t="s">
        <v>94</v>
      </c>
      <c r="B61" s="125">
        <v>100</v>
      </c>
      <c r="C61" s="516"/>
      <c r="D61" s="519"/>
      <c r="E61" s="184">
        <v>2</v>
      </c>
      <c r="F61" s="137">
        <v>8476552</v>
      </c>
      <c r="G61" s="249">
        <f>IF(ISBLANK(F61),"-",(F61/$D$50*$D$47*$B$68)*($B$57/$D$60))</f>
        <v>182.73682706343035</v>
      </c>
      <c r="H61" s="267">
        <f t="shared" si="0"/>
        <v>91.368413531715177</v>
      </c>
      <c r="L61" s="112"/>
    </row>
    <row r="62" spans="1:12" s="14" customFormat="1" ht="26.25" customHeight="1" x14ac:dyDescent="0.45">
      <c r="A62" s="124" t="s">
        <v>95</v>
      </c>
      <c r="B62" s="125">
        <v>1</v>
      </c>
      <c r="C62" s="516"/>
      <c r="D62" s="519"/>
      <c r="E62" s="184">
        <v>3</v>
      </c>
      <c r="F62" s="185">
        <v>8420276</v>
      </c>
      <c r="G62" s="249">
        <f>IF(ISBLANK(F62),"-",(F62/$D$50*$D$47*$B$68)*($B$57/$D$60))</f>
        <v>181.52363357628823</v>
      </c>
      <c r="H62" s="267">
        <f t="shared" si="0"/>
        <v>90.761816788144117</v>
      </c>
      <c r="L62" s="112"/>
    </row>
    <row r="63" spans="1:12" ht="27" customHeight="1" x14ac:dyDescent="0.45">
      <c r="A63" s="124" t="s">
        <v>96</v>
      </c>
      <c r="B63" s="125">
        <v>1</v>
      </c>
      <c r="C63" s="517"/>
      <c r="D63" s="52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5">
      <c r="A64" s="124" t="s">
        <v>97</v>
      </c>
      <c r="B64" s="125">
        <v>1</v>
      </c>
      <c r="C64" s="515" t="s">
        <v>98</v>
      </c>
      <c r="D64" s="518">
        <v>1022.9</v>
      </c>
      <c r="E64" s="182">
        <v>1</v>
      </c>
      <c r="F64" s="183">
        <v>8647452</v>
      </c>
      <c r="G64" s="248">
        <f>IF(ISBLANK(F64),"-",(F64/$D$50*$D$47*$B$68)*($B$57/$D$64))</f>
        <v>185.83241576905576</v>
      </c>
      <c r="H64" s="266">
        <f t="shared" si="0"/>
        <v>92.916207884527878</v>
      </c>
    </row>
    <row r="65" spans="1:8" ht="26.25" customHeight="1" x14ac:dyDescent="0.45">
      <c r="A65" s="124" t="s">
        <v>99</v>
      </c>
      <c r="B65" s="125">
        <v>1</v>
      </c>
      <c r="C65" s="516"/>
      <c r="D65" s="519"/>
      <c r="E65" s="184">
        <v>2</v>
      </c>
      <c r="F65" s="137">
        <v>8631918</v>
      </c>
      <c r="G65" s="249">
        <f>IF(ISBLANK(F65),"-",(F65/$D$50*$D$47*$B$68)*($B$57/$D$64))</f>
        <v>185.49859249411227</v>
      </c>
      <c r="H65" s="267">
        <f t="shared" si="0"/>
        <v>92.749296247056137</v>
      </c>
    </row>
    <row r="66" spans="1:8" ht="26.25" customHeight="1" x14ac:dyDescent="0.45">
      <c r="A66" s="124" t="s">
        <v>100</v>
      </c>
      <c r="B66" s="125">
        <v>1</v>
      </c>
      <c r="C66" s="516"/>
      <c r="D66" s="519"/>
      <c r="E66" s="184">
        <v>3</v>
      </c>
      <c r="F66" s="137">
        <v>8634003</v>
      </c>
      <c r="G66" s="249">
        <f>IF(ISBLANK(F66),"-",(F66/$D$50*$D$47*$B$68)*($B$57/$D$64))</f>
        <v>185.54339882398594</v>
      </c>
      <c r="H66" s="267">
        <f t="shared" si="0"/>
        <v>92.771699411992969</v>
      </c>
    </row>
    <row r="67" spans="1:8" ht="27" customHeight="1" x14ac:dyDescent="0.45">
      <c r="A67" s="124" t="s">
        <v>101</v>
      </c>
      <c r="B67" s="125">
        <v>1</v>
      </c>
      <c r="C67" s="517"/>
      <c r="D67" s="52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5">
      <c r="A68" s="124" t="s">
        <v>102</v>
      </c>
      <c r="B68" s="188">
        <f>(B67/B66)*(B65/B64)*(B63/B62)*(B61/B60)*B59</f>
        <v>5000</v>
      </c>
      <c r="C68" s="515" t="s">
        <v>103</v>
      </c>
      <c r="D68" s="528">
        <v>1020.29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5">
      <c r="A69" s="172" t="s">
        <v>104</v>
      </c>
      <c r="B69" s="189">
        <f>(D47*B68)/B56*B57</f>
        <v>1018.8154999999999</v>
      </c>
      <c r="C69" s="516"/>
      <c r="D69" s="519"/>
      <c r="E69" s="184">
        <v>2</v>
      </c>
      <c r="F69" s="137"/>
      <c r="G69" s="249" t="str">
        <f>IF(ISBLANK(F69),"-",(F69/$D$50*$D$47*$B$68)*($B$57/$D$68))</f>
        <v>-</v>
      </c>
      <c r="H69" s="267" t="str">
        <f t="shared" si="0"/>
        <v>-</v>
      </c>
    </row>
    <row r="70" spans="1:8" ht="26.25" customHeight="1" x14ac:dyDescent="0.45">
      <c r="A70" s="529" t="s">
        <v>77</v>
      </c>
      <c r="B70" s="530"/>
      <c r="C70" s="516"/>
      <c r="D70" s="519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5">
      <c r="A71" s="531"/>
      <c r="B71" s="532"/>
      <c r="C71" s="527"/>
      <c r="D71" s="52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70</v>
      </c>
      <c r="G72" s="254">
        <f>AVERAGE(G60:G71)</f>
        <v>184.02568751597525</v>
      </c>
      <c r="H72" s="269">
        <f>AVERAGE(H60:H71)</f>
        <v>92.012843757987625</v>
      </c>
    </row>
    <row r="73" spans="1:8" ht="26.25" customHeight="1" x14ac:dyDescent="0.45">
      <c r="C73" s="190"/>
      <c r="D73" s="190"/>
      <c r="E73" s="190"/>
      <c r="F73" s="193" t="s">
        <v>83</v>
      </c>
      <c r="G73" s="253">
        <f>STDEV(G60:G71)/G72</f>
        <v>9.9225636562394418E-3</v>
      </c>
      <c r="H73" s="253">
        <f>STDEV(H60:H71)/H72</f>
        <v>9.9225636562394418E-3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5">
      <c r="A76" s="108" t="s">
        <v>105</v>
      </c>
      <c r="B76" s="197" t="s">
        <v>106</v>
      </c>
      <c r="C76" s="523" t="str">
        <f>B26</f>
        <v>EMTRICITABINE</v>
      </c>
      <c r="D76" s="523"/>
      <c r="E76" s="198" t="s">
        <v>107</v>
      </c>
      <c r="F76" s="198"/>
      <c r="G76" s="285">
        <f>H72</f>
        <v>92.012843757987625</v>
      </c>
      <c r="H76" s="200"/>
    </row>
    <row r="77" spans="1:8" ht="18" x14ac:dyDescent="0.35">
      <c r="A77" s="107" t="s">
        <v>108</v>
      </c>
      <c r="B77" s="107" t="s">
        <v>109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509" t="str">
        <f>B26</f>
        <v>EMTRICITABINE</v>
      </c>
      <c r="C79" s="509"/>
    </row>
    <row r="80" spans="1:8" ht="26.25" customHeight="1" x14ac:dyDescent="0.45">
      <c r="A80" s="109" t="s">
        <v>47</v>
      </c>
      <c r="B80" s="509" t="str">
        <f>B27</f>
        <v>E11-3</v>
      </c>
      <c r="C80" s="509"/>
    </row>
    <row r="81" spans="1:12" ht="27" customHeight="1" x14ac:dyDescent="0.45">
      <c r="A81" s="109" t="s">
        <v>6</v>
      </c>
      <c r="B81" s="201">
        <f>B28</f>
        <v>99.8</v>
      </c>
    </row>
    <row r="82" spans="1:12" s="14" customFormat="1" ht="27" customHeight="1" x14ac:dyDescent="0.5">
      <c r="A82" s="109" t="s">
        <v>48</v>
      </c>
      <c r="B82" s="111">
        <v>0</v>
      </c>
      <c r="C82" s="500" t="s">
        <v>49</v>
      </c>
      <c r="D82" s="501"/>
      <c r="E82" s="501"/>
      <c r="F82" s="501"/>
      <c r="G82" s="502"/>
      <c r="I82" s="112"/>
      <c r="J82" s="112"/>
      <c r="K82" s="112"/>
      <c r="L82" s="112"/>
    </row>
    <row r="83" spans="1:12" s="14" customFormat="1" ht="19.5" customHeight="1" x14ac:dyDescent="0.35">
      <c r="A83" s="109" t="s">
        <v>50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51</v>
      </c>
      <c r="B84" s="116">
        <v>1</v>
      </c>
      <c r="C84" s="503" t="s">
        <v>110</v>
      </c>
      <c r="D84" s="504"/>
      <c r="E84" s="504"/>
      <c r="F84" s="504"/>
      <c r="G84" s="504"/>
      <c r="H84" s="505"/>
      <c r="I84" s="112"/>
      <c r="J84" s="112"/>
      <c r="K84" s="112"/>
      <c r="L84" s="112"/>
    </row>
    <row r="85" spans="1:12" s="14" customFormat="1" ht="27" customHeight="1" x14ac:dyDescent="0.45">
      <c r="A85" s="109" t="s">
        <v>53</v>
      </c>
      <c r="B85" s="116">
        <v>1</v>
      </c>
      <c r="C85" s="503" t="s">
        <v>111</v>
      </c>
      <c r="D85" s="504"/>
      <c r="E85" s="504"/>
      <c r="F85" s="504"/>
      <c r="G85" s="504"/>
      <c r="H85" s="505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57</v>
      </c>
      <c r="B89" s="123">
        <v>50</v>
      </c>
      <c r="D89" s="202" t="s">
        <v>58</v>
      </c>
      <c r="E89" s="203"/>
      <c r="F89" s="506" t="s">
        <v>59</v>
      </c>
      <c r="G89" s="508"/>
    </row>
    <row r="90" spans="1:12" ht="27" customHeight="1" x14ac:dyDescent="0.45">
      <c r="A90" s="124" t="s">
        <v>60</v>
      </c>
      <c r="B90" s="125">
        <v>10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5">
      <c r="A91" s="124" t="s">
        <v>65</v>
      </c>
      <c r="B91" s="125">
        <v>20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5">
      <c r="A92" s="124" t="s">
        <v>66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510" t="e">
        <f>ABS((F96/D96*D95)-F95)/D95</f>
        <v>#DIV/0!</v>
      </c>
    </row>
    <row r="93" spans="1:12" ht="26.25" customHeight="1" x14ac:dyDescent="0.45">
      <c r="A93" s="124" t="s">
        <v>67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510"/>
    </row>
    <row r="94" spans="1:12" ht="27" customHeight="1" x14ac:dyDescent="0.45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69</v>
      </c>
      <c r="B95" s="125">
        <v>1</v>
      </c>
      <c r="C95" s="209" t="s">
        <v>70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5">
      <c r="A96" s="124" t="s">
        <v>71</v>
      </c>
      <c r="B96" s="110">
        <v>1</v>
      </c>
      <c r="C96" s="213" t="s">
        <v>112</v>
      </c>
      <c r="D96" s="214">
        <v>21.37</v>
      </c>
      <c r="E96" s="140"/>
      <c r="F96" s="152">
        <v>19.829999999999998</v>
      </c>
    </row>
    <row r="97" spans="1:10" ht="26.25" customHeight="1" x14ac:dyDescent="0.45">
      <c r="A97" s="124" t="s">
        <v>73</v>
      </c>
      <c r="B97" s="110">
        <v>1</v>
      </c>
      <c r="C97" s="215" t="s">
        <v>113</v>
      </c>
      <c r="D97" s="216">
        <f>D96*$B$87</f>
        <v>21.37</v>
      </c>
      <c r="E97" s="155"/>
      <c r="F97" s="154">
        <f>F96*$B$87</f>
        <v>19.829999999999998</v>
      </c>
    </row>
    <row r="98" spans="1:10" ht="19.5" customHeight="1" x14ac:dyDescent="0.35">
      <c r="A98" s="124" t="s">
        <v>75</v>
      </c>
      <c r="B98" s="217">
        <f>(B97/B96)*(B95/B94)*(B93/B92)*(B91/B90)*B89</f>
        <v>100</v>
      </c>
      <c r="C98" s="215" t="s">
        <v>114</v>
      </c>
      <c r="D98" s="218">
        <f>D97*$B$83/100</f>
        <v>21.327260000000003</v>
      </c>
      <c r="E98" s="158"/>
      <c r="F98" s="157">
        <f>F97*$B$83/100</f>
        <v>19.79034</v>
      </c>
    </row>
    <row r="99" spans="1:10" ht="19.5" customHeight="1" x14ac:dyDescent="0.35">
      <c r="A99" s="511" t="s">
        <v>77</v>
      </c>
      <c r="B99" s="525"/>
      <c r="C99" s="215" t="s">
        <v>115</v>
      </c>
      <c r="D99" s="219">
        <f>D98/$B$98</f>
        <v>0.21327260000000003</v>
      </c>
      <c r="E99" s="158"/>
      <c r="F99" s="161">
        <f>F98/$B$98</f>
        <v>0.19790340000000001</v>
      </c>
      <c r="G99" s="220"/>
      <c r="H99" s="150"/>
    </row>
    <row r="100" spans="1:10" ht="19.5" customHeight="1" x14ac:dyDescent="0.35">
      <c r="A100" s="513"/>
      <c r="B100" s="526"/>
      <c r="C100" s="215" t="s">
        <v>79</v>
      </c>
      <c r="D100" s="221">
        <f>$B$56/$B$116</f>
        <v>0.22222222222222221</v>
      </c>
      <c r="F100" s="166"/>
      <c r="G100" s="222"/>
      <c r="H100" s="150"/>
    </row>
    <row r="101" spans="1:10" ht="18" x14ac:dyDescent="0.35">
      <c r="C101" s="215" t="s">
        <v>80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5">
      <c r="C102" s="223" t="s">
        <v>81</v>
      </c>
      <c r="D102" s="224">
        <f>D101/B34</f>
        <v>22.222222222222221</v>
      </c>
      <c r="F102" s="170"/>
      <c r="G102" s="220"/>
      <c r="H102" s="150"/>
      <c r="J102" s="225"/>
    </row>
    <row r="103" spans="1:10" ht="18" x14ac:dyDescent="0.35">
      <c r="C103" s="226" t="s">
        <v>116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" x14ac:dyDescent="0.35">
      <c r="C104" s="193" t="s">
        <v>83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5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117</v>
      </c>
      <c r="B107" s="123">
        <v>900</v>
      </c>
      <c r="C107" s="270" t="s">
        <v>118</v>
      </c>
      <c r="D107" s="270" t="s">
        <v>62</v>
      </c>
      <c r="E107" s="270" t="s">
        <v>119</v>
      </c>
      <c r="F107" s="232" t="s">
        <v>120</v>
      </c>
    </row>
    <row r="108" spans="1:10" ht="26.25" customHeight="1" x14ac:dyDescent="0.45">
      <c r="A108" s="124" t="s">
        <v>121</v>
      </c>
      <c r="B108" s="125">
        <v>1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5">
      <c r="A109" s="124" t="s">
        <v>94</v>
      </c>
      <c r="B109" s="125">
        <v>1</v>
      </c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5">
      <c r="A110" s="124" t="s">
        <v>95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5">
      <c r="A111" s="124" t="s">
        <v>96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5">
      <c r="A112" s="124" t="s">
        <v>97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5">
      <c r="A113" s="124" t="s">
        <v>99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5">
      <c r="A114" s="124" t="s">
        <v>100</v>
      </c>
      <c r="B114" s="125">
        <v>1</v>
      </c>
      <c r="C114" s="233"/>
      <c r="D114" s="191"/>
      <c r="E114" s="98"/>
      <c r="F114" s="280"/>
    </row>
    <row r="115" spans="1:10" ht="26.25" customHeight="1" x14ac:dyDescent="0.45">
      <c r="A115" s="124" t="s">
        <v>101</v>
      </c>
      <c r="B115" s="125">
        <v>1</v>
      </c>
      <c r="C115" s="233"/>
      <c r="D115" s="257" t="s">
        <v>70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5">
      <c r="A116" s="124" t="s">
        <v>102</v>
      </c>
      <c r="B116" s="156">
        <f>(B115/B114)*(B113/B112)*(B111/B110)*(B109/B108)*B107</f>
        <v>900</v>
      </c>
      <c r="C116" s="234"/>
      <c r="D116" s="258" t="s">
        <v>83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5">
      <c r="A117" s="511" t="s">
        <v>77</v>
      </c>
      <c r="B117" s="512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5">
      <c r="A118" s="513"/>
      <c r="B118" s="514"/>
      <c r="C118" s="98"/>
      <c r="D118" s="260"/>
      <c r="E118" s="489" t="s">
        <v>122</v>
      </c>
      <c r="F118" s="490"/>
      <c r="G118" s="98"/>
      <c r="H118" s="98"/>
      <c r="I118" s="98"/>
    </row>
    <row r="119" spans="1:10" ht="25.5" customHeight="1" x14ac:dyDescent="0.45">
      <c r="A119" s="245"/>
      <c r="B119" s="120"/>
      <c r="C119" s="98"/>
      <c r="D119" s="258" t="s">
        <v>123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5">
      <c r="A120" s="245"/>
      <c r="B120" s="120"/>
      <c r="C120" s="98"/>
      <c r="D120" s="167" t="s">
        <v>124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5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105</v>
      </c>
      <c r="B124" s="197" t="s">
        <v>125</v>
      </c>
      <c r="C124" s="523" t="str">
        <f>B26</f>
        <v>EMTRICITABINE</v>
      </c>
      <c r="D124" s="523"/>
      <c r="E124" s="198" t="s">
        <v>126</v>
      </c>
      <c r="F124" s="198"/>
      <c r="G124" s="284" t="e">
        <f>F115</f>
        <v>#DIV/0!</v>
      </c>
      <c r="H124" s="98"/>
      <c r="I124" s="98"/>
    </row>
    <row r="125" spans="1:10" ht="45.75" customHeight="1" x14ac:dyDescent="0.85">
      <c r="A125" s="108"/>
      <c r="B125" s="197" t="s">
        <v>127</v>
      </c>
      <c r="C125" s="109" t="s">
        <v>128</v>
      </c>
      <c r="D125" s="284">
        <f>MIN(F108:F113)</f>
        <v>0</v>
      </c>
      <c r="E125" s="209" t="s">
        <v>129</v>
      </c>
      <c r="F125" s="284">
        <f>MAX(F108:F113)</f>
        <v>0</v>
      </c>
      <c r="G125" s="199"/>
      <c r="H125" s="98"/>
      <c r="I125" s="98"/>
    </row>
    <row r="126" spans="1:10" ht="19.5" customHeight="1" x14ac:dyDescent="0.35">
      <c r="A126" s="237"/>
      <c r="B126" s="237"/>
      <c r="C126" s="238"/>
      <c r="D126" s="238"/>
      <c r="E126" s="238"/>
      <c r="F126" s="238"/>
      <c r="G126" s="238"/>
      <c r="H126" s="238"/>
    </row>
    <row r="127" spans="1:10" ht="18" x14ac:dyDescent="0.35">
      <c r="B127" s="524" t="s">
        <v>25</v>
      </c>
      <c r="C127" s="524"/>
      <c r="E127" s="204" t="s">
        <v>26</v>
      </c>
      <c r="F127" s="239"/>
      <c r="G127" s="524" t="s">
        <v>27</v>
      </c>
      <c r="H127" s="524"/>
    </row>
    <row r="128" spans="1:10" ht="69.900000000000006" customHeight="1" x14ac:dyDescent="0.35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00000000000006" customHeight="1" x14ac:dyDescent="0.35">
      <c r="A129" s="240" t="s">
        <v>29</v>
      </c>
      <c r="B129" s="243"/>
      <c r="C129" s="243"/>
      <c r="E129" s="243"/>
      <c r="F129" s="98"/>
      <c r="G129" s="244"/>
      <c r="H129" s="244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formatCells="0" formatColumns="0"/>
  <mergeCells count="35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60" zoomScaleNormal="40" zoomScalePageLayoutView="51" workbookViewId="0">
      <selection activeCell="E24" sqref="E2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21" t="s">
        <v>44</v>
      </c>
      <c r="B1" s="521"/>
      <c r="C1" s="521"/>
      <c r="D1" s="521"/>
      <c r="E1" s="521"/>
      <c r="F1" s="521"/>
      <c r="G1" s="521"/>
      <c r="H1" s="521"/>
      <c r="I1" s="521"/>
    </row>
    <row r="2" spans="1:9" ht="18.75" customHeight="1" x14ac:dyDescent="0.3">
      <c r="A2" s="521"/>
      <c r="B2" s="521"/>
      <c r="C2" s="521"/>
      <c r="D2" s="521"/>
      <c r="E2" s="521"/>
      <c r="F2" s="521"/>
      <c r="G2" s="521"/>
      <c r="H2" s="521"/>
      <c r="I2" s="521"/>
    </row>
    <row r="3" spans="1:9" ht="18.75" customHeight="1" x14ac:dyDescent="0.3">
      <c r="A3" s="521"/>
      <c r="B3" s="521"/>
      <c r="C3" s="521"/>
      <c r="D3" s="521"/>
      <c r="E3" s="521"/>
      <c r="F3" s="521"/>
      <c r="G3" s="521"/>
      <c r="H3" s="521"/>
      <c r="I3" s="521"/>
    </row>
    <row r="4" spans="1:9" ht="18.75" customHeight="1" x14ac:dyDescent="0.3">
      <c r="A4" s="521"/>
      <c r="B4" s="521"/>
      <c r="C4" s="521"/>
      <c r="D4" s="521"/>
      <c r="E4" s="521"/>
      <c r="F4" s="521"/>
      <c r="G4" s="521"/>
      <c r="H4" s="521"/>
      <c r="I4" s="521"/>
    </row>
    <row r="5" spans="1:9" ht="18.75" customHeight="1" x14ac:dyDescent="0.3">
      <c r="A5" s="521"/>
      <c r="B5" s="521"/>
      <c r="C5" s="521"/>
      <c r="D5" s="521"/>
      <c r="E5" s="521"/>
      <c r="F5" s="521"/>
      <c r="G5" s="521"/>
      <c r="H5" s="521"/>
      <c r="I5" s="521"/>
    </row>
    <row r="6" spans="1:9" ht="18.75" customHeight="1" x14ac:dyDescent="0.3">
      <c r="A6" s="521"/>
      <c r="B6" s="521"/>
      <c r="C6" s="521"/>
      <c r="D6" s="521"/>
      <c r="E6" s="521"/>
      <c r="F6" s="521"/>
      <c r="G6" s="521"/>
      <c r="H6" s="521"/>
      <c r="I6" s="521"/>
    </row>
    <row r="7" spans="1:9" ht="18.75" customHeight="1" x14ac:dyDescent="0.3">
      <c r="A7" s="521"/>
      <c r="B7" s="521"/>
      <c r="C7" s="521"/>
      <c r="D7" s="521"/>
      <c r="E7" s="521"/>
      <c r="F7" s="521"/>
      <c r="G7" s="521"/>
      <c r="H7" s="521"/>
      <c r="I7" s="521"/>
    </row>
    <row r="8" spans="1:9" x14ac:dyDescent="0.3">
      <c r="A8" s="522" t="s">
        <v>45</v>
      </c>
      <c r="B8" s="522"/>
      <c r="C8" s="522"/>
      <c r="D8" s="522"/>
      <c r="E8" s="522"/>
      <c r="F8" s="522"/>
      <c r="G8" s="522"/>
      <c r="H8" s="522"/>
      <c r="I8" s="522"/>
    </row>
    <row r="9" spans="1:9" x14ac:dyDescent="0.3">
      <c r="A9" s="522"/>
      <c r="B9" s="522"/>
      <c r="C9" s="522"/>
      <c r="D9" s="522"/>
      <c r="E9" s="522"/>
      <c r="F9" s="522"/>
      <c r="G9" s="522"/>
      <c r="H9" s="522"/>
      <c r="I9" s="522"/>
    </row>
    <row r="10" spans="1:9" x14ac:dyDescent="0.3">
      <c r="A10" s="522"/>
      <c r="B10" s="522"/>
      <c r="C10" s="522"/>
      <c r="D10" s="522"/>
      <c r="E10" s="522"/>
      <c r="F10" s="522"/>
      <c r="G10" s="522"/>
      <c r="H10" s="522"/>
      <c r="I10" s="522"/>
    </row>
    <row r="11" spans="1:9" x14ac:dyDescent="0.3">
      <c r="A11" s="522"/>
      <c r="B11" s="522"/>
      <c r="C11" s="522"/>
      <c r="D11" s="522"/>
      <c r="E11" s="522"/>
      <c r="F11" s="522"/>
      <c r="G11" s="522"/>
      <c r="H11" s="522"/>
      <c r="I11" s="522"/>
    </row>
    <row r="12" spans="1:9" x14ac:dyDescent="0.3">
      <c r="A12" s="522"/>
      <c r="B12" s="522"/>
      <c r="C12" s="522"/>
      <c r="D12" s="522"/>
      <c r="E12" s="522"/>
      <c r="F12" s="522"/>
      <c r="G12" s="522"/>
      <c r="H12" s="522"/>
      <c r="I12" s="522"/>
    </row>
    <row r="13" spans="1:9" x14ac:dyDescent="0.3">
      <c r="A13" s="522"/>
      <c r="B13" s="522"/>
      <c r="C13" s="522"/>
      <c r="D13" s="522"/>
      <c r="E13" s="522"/>
      <c r="F13" s="522"/>
      <c r="G13" s="522"/>
      <c r="H13" s="522"/>
      <c r="I13" s="522"/>
    </row>
    <row r="14" spans="1:9" x14ac:dyDescent="0.3">
      <c r="A14" s="522"/>
      <c r="B14" s="522"/>
      <c r="C14" s="522"/>
      <c r="D14" s="522"/>
      <c r="E14" s="522"/>
      <c r="F14" s="522"/>
      <c r="G14" s="522"/>
      <c r="H14" s="522"/>
      <c r="I14" s="522"/>
    </row>
    <row r="15" spans="1:9" ht="19.5" customHeight="1" x14ac:dyDescent="0.35">
      <c r="A15" s="286"/>
    </row>
    <row r="16" spans="1:9" ht="19.5" customHeight="1" x14ac:dyDescent="0.35">
      <c r="A16" s="493" t="s">
        <v>30</v>
      </c>
      <c r="B16" s="494"/>
      <c r="C16" s="494"/>
      <c r="D16" s="494"/>
      <c r="E16" s="494"/>
      <c r="F16" s="494"/>
      <c r="G16" s="494"/>
      <c r="H16" s="495"/>
    </row>
    <row r="17" spans="1:14" ht="20.25" customHeight="1" x14ac:dyDescent="0.3">
      <c r="A17" s="496" t="s">
        <v>46</v>
      </c>
      <c r="B17" s="496"/>
      <c r="C17" s="496"/>
      <c r="D17" s="496"/>
      <c r="E17" s="496"/>
      <c r="F17" s="496"/>
      <c r="G17" s="496"/>
      <c r="H17" s="496"/>
    </row>
    <row r="18" spans="1:14" ht="26.25" customHeight="1" x14ac:dyDescent="0.5">
      <c r="A18" s="288" t="s">
        <v>32</v>
      </c>
      <c r="B18" s="543" t="s">
        <v>140</v>
      </c>
      <c r="C18" s="543"/>
      <c r="D18" s="434"/>
      <c r="E18" s="289"/>
      <c r="F18" s="290"/>
      <c r="G18" s="290"/>
      <c r="H18" s="290"/>
    </row>
    <row r="19" spans="1:14" ht="26.25" customHeight="1" x14ac:dyDescent="0.5">
      <c r="A19" s="288" t="s">
        <v>33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5">
      <c r="A20" s="288" t="s">
        <v>34</v>
      </c>
      <c r="B20" s="497" t="s">
        <v>143</v>
      </c>
      <c r="C20" s="497"/>
      <c r="D20" s="290"/>
      <c r="E20" s="290"/>
      <c r="F20" s="290"/>
      <c r="G20" s="290"/>
      <c r="H20" s="290"/>
    </row>
    <row r="21" spans="1:14" ht="26.25" customHeight="1" x14ac:dyDescent="0.5">
      <c r="A21" s="288" t="s">
        <v>35</v>
      </c>
      <c r="B21" s="497" t="s">
        <v>139</v>
      </c>
      <c r="C21" s="497"/>
      <c r="D21" s="497"/>
      <c r="E21" s="497"/>
      <c r="F21" s="497"/>
      <c r="G21" s="497"/>
      <c r="H21" s="497"/>
      <c r="I21" s="292"/>
    </row>
    <row r="22" spans="1:14" ht="26.25" customHeight="1" x14ac:dyDescent="0.5">
      <c r="A22" s="288" t="s">
        <v>36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5">
      <c r="A23" s="288" t="s">
        <v>37</v>
      </c>
      <c r="B23" s="478">
        <v>43186</v>
      </c>
      <c r="C23" s="290"/>
      <c r="D23" s="290"/>
      <c r="E23" s="290"/>
      <c r="F23" s="290"/>
      <c r="G23" s="290"/>
      <c r="H23" s="290"/>
    </row>
    <row r="24" spans="1:14" ht="18" x14ac:dyDescent="0.35">
      <c r="A24" s="288"/>
      <c r="B24" s="294"/>
    </row>
    <row r="25" spans="1:14" ht="18" x14ac:dyDescent="0.35">
      <c r="A25" s="295" t="s">
        <v>1</v>
      </c>
      <c r="B25" s="294"/>
    </row>
    <row r="26" spans="1:14" ht="26.25" customHeight="1" x14ac:dyDescent="0.45">
      <c r="A26" s="296" t="s">
        <v>4</v>
      </c>
      <c r="B26" s="491" t="s">
        <v>131</v>
      </c>
      <c r="C26" s="492"/>
    </row>
    <row r="27" spans="1:14" ht="26.25" customHeight="1" x14ac:dyDescent="0.5">
      <c r="A27" s="297" t="s">
        <v>47</v>
      </c>
      <c r="B27" s="498" t="s">
        <v>135</v>
      </c>
      <c r="C27" s="499"/>
    </row>
    <row r="28" spans="1:14" ht="27" customHeight="1" x14ac:dyDescent="0.45">
      <c r="A28" s="297" t="s">
        <v>6</v>
      </c>
      <c r="B28" s="298">
        <v>99.54</v>
      </c>
    </row>
    <row r="29" spans="1:14" s="14" customFormat="1" ht="27" customHeight="1" x14ac:dyDescent="0.5">
      <c r="A29" s="297" t="s">
        <v>48</v>
      </c>
      <c r="B29" s="299">
        <v>0</v>
      </c>
      <c r="C29" s="500" t="s">
        <v>49</v>
      </c>
      <c r="D29" s="501"/>
      <c r="E29" s="501"/>
      <c r="F29" s="501"/>
      <c r="G29" s="502"/>
      <c r="I29" s="300"/>
      <c r="J29" s="300"/>
      <c r="K29" s="300"/>
      <c r="L29" s="300"/>
    </row>
    <row r="30" spans="1:14" s="14" customFormat="1" ht="19.5" customHeight="1" x14ac:dyDescent="0.35">
      <c r="A30" s="297" t="s">
        <v>50</v>
      </c>
      <c r="B30" s="301">
        <f>B28-B29</f>
        <v>99.54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5">
      <c r="A31" s="297" t="s">
        <v>51</v>
      </c>
      <c r="B31" s="304">
        <v>1</v>
      </c>
      <c r="C31" s="503" t="s">
        <v>52</v>
      </c>
      <c r="D31" s="504"/>
      <c r="E31" s="504"/>
      <c r="F31" s="504"/>
      <c r="G31" s="504"/>
      <c r="H31" s="505"/>
      <c r="I31" s="300"/>
      <c r="J31" s="300"/>
      <c r="K31" s="300"/>
      <c r="L31" s="300"/>
    </row>
    <row r="32" spans="1:14" s="14" customFormat="1" ht="27" customHeight="1" x14ac:dyDescent="0.45">
      <c r="A32" s="297" t="s">
        <v>53</v>
      </c>
      <c r="B32" s="304">
        <v>1</v>
      </c>
      <c r="C32" s="503" t="s">
        <v>54</v>
      </c>
      <c r="D32" s="504"/>
      <c r="E32" s="504"/>
      <c r="F32" s="504"/>
      <c r="G32" s="504"/>
      <c r="H32" s="505"/>
      <c r="I32" s="300"/>
      <c r="J32" s="300"/>
      <c r="K32" s="300"/>
      <c r="L32" s="305"/>
      <c r="M32" s="305"/>
      <c r="N32" s="306"/>
    </row>
    <row r="33" spans="1:14" s="14" customFormat="1" ht="17.25" customHeight="1" x14ac:dyDescent="0.35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" x14ac:dyDescent="0.35">
      <c r="A34" s="297" t="s">
        <v>55</v>
      </c>
      <c r="B34" s="309">
        <f>B31/B32</f>
        <v>1</v>
      </c>
      <c r="C34" s="287" t="s">
        <v>56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5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5">
      <c r="A36" s="310" t="s">
        <v>57</v>
      </c>
      <c r="B36" s="311">
        <v>50</v>
      </c>
      <c r="C36" s="287"/>
      <c r="D36" s="506" t="s">
        <v>58</v>
      </c>
      <c r="E36" s="507"/>
      <c r="F36" s="506" t="s">
        <v>59</v>
      </c>
      <c r="G36" s="508"/>
      <c r="J36" s="300"/>
      <c r="K36" s="300"/>
      <c r="L36" s="305"/>
      <c r="M36" s="305"/>
      <c r="N36" s="306"/>
    </row>
    <row r="37" spans="1:14" s="14" customFormat="1" ht="27" customHeight="1" x14ac:dyDescent="0.45">
      <c r="A37" s="312" t="s">
        <v>60</v>
      </c>
      <c r="B37" s="313">
        <v>10</v>
      </c>
      <c r="C37" s="314" t="s">
        <v>61</v>
      </c>
      <c r="D37" s="315" t="s">
        <v>62</v>
      </c>
      <c r="E37" s="316" t="s">
        <v>63</v>
      </c>
      <c r="F37" s="315" t="s">
        <v>62</v>
      </c>
      <c r="G37" s="317" t="s">
        <v>63</v>
      </c>
      <c r="I37" s="318" t="s">
        <v>64</v>
      </c>
      <c r="J37" s="300"/>
      <c r="K37" s="300"/>
      <c r="L37" s="305"/>
      <c r="M37" s="305"/>
      <c r="N37" s="306"/>
    </row>
    <row r="38" spans="1:14" s="14" customFormat="1" ht="26.25" customHeight="1" x14ac:dyDescent="0.45">
      <c r="A38" s="312" t="s">
        <v>65</v>
      </c>
      <c r="B38" s="313">
        <v>100</v>
      </c>
      <c r="C38" s="319">
        <v>1</v>
      </c>
      <c r="D38" s="320">
        <v>13187761</v>
      </c>
      <c r="E38" s="321">
        <f>IF(ISBLANK(D38),"-",$D$48/$D$45*D38)</f>
        <v>12751400.426562766</v>
      </c>
      <c r="F38" s="320">
        <v>12662897</v>
      </c>
      <c r="G38" s="322">
        <f>IF(ISBLANK(F38),"-",$D$48/$F$45*F38)</f>
        <v>12755429.991329098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5">
      <c r="A39" s="312" t="s">
        <v>66</v>
      </c>
      <c r="B39" s="313">
        <v>1</v>
      </c>
      <c r="C39" s="324">
        <v>2</v>
      </c>
      <c r="D39" s="325">
        <v>13222912</v>
      </c>
      <c r="E39" s="326">
        <f>IF(ISBLANK(D39),"-",$D$48/$D$45*D39)</f>
        <v>12785388.339779733</v>
      </c>
      <c r="F39" s="325">
        <v>12678462</v>
      </c>
      <c r="G39" s="327">
        <f>IF(ISBLANK(F39),"-",$D$48/$F$45*F39)</f>
        <v>12771108.731179468</v>
      </c>
      <c r="I39" s="510">
        <f>ABS((F43/D43*D42)-F42)/D42</f>
        <v>2.1552864659502243E-3</v>
      </c>
      <c r="J39" s="300"/>
      <c r="K39" s="300"/>
      <c r="L39" s="305"/>
      <c r="M39" s="305"/>
      <c r="N39" s="306"/>
    </row>
    <row r="40" spans="1:14" ht="26.25" customHeight="1" x14ac:dyDescent="0.45">
      <c r="A40" s="312" t="s">
        <v>67</v>
      </c>
      <c r="B40" s="313">
        <v>1</v>
      </c>
      <c r="C40" s="324">
        <v>3</v>
      </c>
      <c r="D40" s="325">
        <v>13160205</v>
      </c>
      <c r="E40" s="326">
        <f>IF(ISBLANK(D40),"-",$D$48/$D$45*D40)</f>
        <v>12724756.20771816</v>
      </c>
      <c r="F40" s="325">
        <v>12727908</v>
      </c>
      <c r="G40" s="327">
        <f>IF(ISBLANK(F40),"-",$D$48/$F$45*F40)</f>
        <v>12820916.053417915</v>
      </c>
      <c r="I40" s="510"/>
      <c r="L40" s="305"/>
      <c r="M40" s="305"/>
      <c r="N40" s="328"/>
    </row>
    <row r="41" spans="1:14" ht="27" customHeight="1" x14ac:dyDescent="0.45">
      <c r="A41" s="312" t="s">
        <v>68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5">
      <c r="A42" s="312" t="s">
        <v>69</v>
      </c>
      <c r="B42" s="313">
        <v>1</v>
      </c>
      <c r="C42" s="334" t="s">
        <v>70</v>
      </c>
      <c r="D42" s="335">
        <f>AVERAGE(D38:D41)</f>
        <v>13190292.666666666</v>
      </c>
      <c r="E42" s="336">
        <f>AVERAGE(E38:E41)</f>
        <v>12753848.324686885</v>
      </c>
      <c r="F42" s="335">
        <f>AVERAGE(F38:F41)</f>
        <v>12689755.666666666</v>
      </c>
      <c r="G42" s="337">
        <f>AVERAGE(G38:G41)</f>
        <v>12782484.925308825</v>
      </c>
      <c r="H42" s="338"/>
    </row>
    <row r="43" spans="1:14" ht="26.25" customHeight="1" x14ac:dyDescent="0.45">
      <c r="A43" s="312" t="s">
        <v>71</v>
      </c>
      <c r="B43" s="313">
        <v>1</v>
      </c>
      <c r="C43" s="339" t="s">
        <v>72</v>
      </c>
      <c r="D43" s="340">
        <v>31.17</v>
      </c>
      <c r="E43" s="328"/>
      <c r="F43" s="340">
        <v>29.92</v>
      </c>
      <c r="H43" s="338"/>
    </row>
    <row r="44" spans="1:14" ht="26.25" customHeight="1" x14ac:dyDescent="0.45">
      <c r="A44" s="312" t="s">
        <v>73</v>
      </c>
      <c r="B44" s="313">
        <v>1</v>
      </c>
      <c r="C44" s="341" t="s">
        <v>74</v>
      </c>
      <c r="D44" s="342">
        <f>D43*$B$34</f>
        <v>31.17</v>
      </c>
      <c r="E44" s="343"/>
      <c r="F44" s="342">
        <f>F43*$B$34</f>
        <v>29.92</v>
      </c>
      <c r="H44" s="338"/>
    </row>
    <row r="45" spans="1:14" ht="19.5" customHeight="1" x14ac:dyDescent="0.35">
      <c r="A45" s="312" t="s">
        <v>75</v>
      </c>
      <c r="B45" s="344">
        <f>(B44/B43)*(B42/B41)*(B40/B39)*(B38/B37)*B36</f>
        <v>500</v>
      </c>
      <c r="C45" s="341" t="s">
        <v>76</v>
      </c>
      <c r="D45" s="345">
        <f>D44*$B$30/100</f>
        <v>31.026618000000003</v>
      </c>
      <c r="E45" s="346"/>
      <c r="F45" s="345">
        <f>F44*$B$30/100</f>
        <v>29.782368000000002</v>
      </c>
      <c r="H45" s="338"/>
    </row>
    <row r="46" spans="1:14" ht="19.5" customHeight="1" x14ac:dyDescent="0.35">
      <c r="A46" s="511" t="s">
        <v>77</v>
      </c>
      <c r="B46" s="512"/>
      <c r="C46" s="341" t="s">
        <v>78</v>
      </c>
      <c r="D46" s="347">
        <f>D45/$B$45</f>
        <v>6.2053236000000005E-2</v>
      </c>
      <c r="E46" s="348"/>
      <c r="F46" s="349">
        <f>F45/$B$45</f>
        <v>5.9564736E-2</v>
      </c>
      <c r="H46" s="338"/>
    </row>
    <row r="47" spans="1:14" ht="27" customHeight="1" x14ac:dyDescent="0.45">
      <c r="A47" s="513"/>
      <c r="B47" s="514"/>
      <c r="C47" s="350" t="s">
        <v>79</v>
      </c>
      <c r="D47" s="351">
        <v>0.06</v>
      </c>
      <c r="E47" s="352"/>
      <c r="F47" s="348"/>
      <c r="H47" s="338"/>
    </row>
    <row r="48" spans="1:14" ht="18" x14ac:dyDescent="0.35">
      <c r="C48" s="353" t="s">
        <v>80</v>
      </c>
      <c r="D48" s="345">
        <f>D47*$B$45</f>
        <v>30</v>
      </c>
      <c r="F48" s="354"/>
      <c r="H48" s="338"/>
    </row>
    <row r="49" spans="1:12" ht="19.5" customHeight="1" x14ac:dyDescent="0.35">
      <c r="C49" s="355" t="s">
        <v>81</v>
      </c>
      <c r="D49" s="356">
        <f>D48/B34</f>
        <v>30</v>
      </c>
      <c r="F49" s="354"/>
      <c r="H49" s="338"/>
    </row>
    <row r="50" spans="1:12" ht="18" x14ac:dyDescent="0.35">
      <c r="C50" s="310" t="s">
        <v>82</v>
      </c>
      <c r="D50" s="357">
        <f>AVERAGE(E38:E41,G38:G41)</f>
        <v>12768166.624997856</v>
      </c>
      <c r="F50" s="358"/>
      <c r="H50" s="338"/>
    </row>
    <row r="51" spans="1:12" ht="18" x14ac:dyDescent="0.35">
      <c r="C51" s="312" t="s">
        <v>83</v>
      </c>
      <c r="D51" s="359">
        <f>STDEV(E38:E41,G38:G41)/D50</f>
        <v>2.5775507730911636E-3</v>
      </c>
      <c r="F51" s="358"/>
      <c r="H51" s="338"/>
    </row>
    <row r="52" spans="1:12" ht="19.5" customHeight="1" x14ac:dyDescent="0.35">
      <c r="C52" s="360" t="s">
        <v>20</v>
      </c>
      <c r="D52" s="361">
        <f>COUNT(E38:E41,G38:G41)</f>
        <v>6</v>
      </c>
      <c r="F52" s="358"/>
    </row>
    <row r="54" spans="1:12" ht="18" x14ac:dyDescent="0.35">
      <c r="A54" s="362" t="s">
        <v>1</v>
      </c>
      <c r="B54" s="363" t="s">
        <v>84</v>
      </c>
    </row>
    <row r="55" spans="1:12" ht="18" x14ac:dyDescent="0.35">
      <c r="A55" s="287" t="s">
        <v>85</v>
      </c>
      <c r="B55" s="364" t="str">
        <f>B21</f>
        <v>Each film coated tablet contains  Tenofovir Disoproxil Fumarate 300 mg equivalent to Tenofovir Disoproxil 245 mg and Emtricitabine 200 mg.</v>
      </c>
    </row>
    <row r="56" spans="1:12" ht="26.25" customHeight="1" x14ac:dyDescent="0.45">
      <c r="A56" s="365" t="s">
        <v>86</v>
      </c>
      <c r="B56" s="366">
        <v>300</v>
      </c>
      <c r="C56" s="287" t="str">
        <f>B20</f>
        <v>Tenofovir Disoproxil Fumarate</v>
      </c>
      <c r="H56" s="367"/>
    </row>
    <row r="57" spans="1:12" ht="18" x14ac:dyDescent="0.35">
      <c r="A57" s="364" t="s">
        <v>87</v>
      </c>
      <c r="B57" s="435">
        <f>Uniformity!C46</f>
        <v>1018.8154999999999</v>
      </c>
      <c r="H57" s="367"/>
    </row>
    <row r="58" spans="1:12" ht="19.5" customHeight="1" x14ac:dyDescent="0.35">
      <c r="H58" s="367"/>
    </row>
    <row r="59" spans="1:12" s="14" customFormat="1" ht="27" customHeight="1" x14ac:dyDescent="0.45">
      <c r="A59" s="310" t="s">
        <v>88</v>
      </c>
      <c r="B59" s="311">
        <v>100</v>
      </c>
      <c r="C59" s="287"/>
      <c r="D59" s="368" t="s">
        <v>89</v>
      </c>
      <c r="E59" s="369" t="s">
        <v>61</v>
      </c>
      <c r="F59" s="369" t="s">
        <v>62</v>
      </c>
      <c r="G59" s="369" t="s">
        <v>90</v>
      </c>
      <c r="H59" s="314" t="s">
        <v>91</v>
      </c>
      <c r="L59" s="300"/>
    </row>
    <row r="60" spans="1:12" s="14" customFormat="1" ht="26.25" customHeight="1" x14ac:dyDescent="0.45">
      <c r="A60" s="312" t="s">
        <v>92</v>
      </c>
      <c r="B60" s="313">
        <v>2</v>
      </c>
      <c r="C60" s="515" t="s">
        <v>93</v>
      </c>
      <c r="D60" s="518">
        <v>1019.67</v>
      </c>
      <c r="E60" s="370">
        <v>1</v>
      </c>
      <c r="F60" s="371">
        <v>11632733</v>
      </c>
      <c r="G60" s="436">
        <f>IF(ISBLANK(F60),"-",(F60/$D$50*$D$47*$B$68)*($B$57/$D$60))</f>
        <v>273.09287830634383</v>
      </c>
      <c r="H60" s="454">
        <f t="shared" ref="H60:H71" si="0">IF(ISBLANK(F60),"-",(G60/$B$56)*100)</f>
        <v>91.03095943544794</v>
      </c>
      <c r="L60" s="300"/>
    </row>
    <row r="61" spans="1:12" s="14" customFormat="1" ht="26.25" customHeight="1" x14ac:dyDescent="0.45">
      <c r="A61" s="312" t="s">
        <v>94</v>
      </c>
      <c r="B61" s="313">
        <v>100</v>
      </c>
      <c r="C61" s="516"/>
      <c r="D61" s="519"/>
      <c r="E61" s="372">
        <v>2</v>
      </c>
      <c r="F61" s="325">
        <v>11598952</v>
      </c>
      <c r="G61" s="437">
        <f>IF(ISBLANK(F61),"-",(F61/$D$50*$D$47*$B$68)*($B$57/$D$60))</f>
        <v>272.29982730774645</v>
      </c>
      <c r="H61" s="455">
        <f t="shared" si="0"/>
        <v>90.766609102582152</v>
      </c>
      <c r="L61" s="300"/>
    </row>
    <row r="62" spans="1:12" s="14" customFormat="1" ht="26.25" customHeight="1" x14ac:dyDescent="0.45">
      <c r="A62" s="312" t="s">
        <v>95</v>
      </c>
      <c r="B62" s="313">
        <v>1</v>
      </c>
      <c r="C62" s="516"/>
      <c r="D62" s="519"/>
      <c r="E62" s="372">
        <v>3</v>
      </c>
      <c r="F62" s="373">
        <v>11520239</v>
      </c>
      <c r="G62" s="437">
        <f>IF(ISBLANK(F62),"-",(F62/$D$50*$D$47*$B$68)*($B$57/$D$60))</f>
        <v>270.45194171369678</v>
      </c>
      <c r="H62" s="455">
        <f t="shared" si="0"/>
        <v>90.150647237898923</v>
      </c>
      <c r="L62" s="300"/>
    </row>
    <row r="63" spans="1:12" ht="27" customHeight="1" x14ac:dyDescent="0.45">
      <c r="A63" s="312" t="s">
        <v>96</v>
      </c>
      <c r="B63" s="313">
        <v>1</v>
      </c>
      <c r="C63" s="517"/>
      <c r="D63" s="520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5">
      <c r="A64" s="312" t="s">
        <v>97</v>
      </c>
      <c r="B64" s="313">
        <v>1</v>
      </c>
      <c r="C64" s="515" t="s">
        <v>98</v>
      </c>
      <c r="D64" s="518">
        <v>1022.9</v>
      </c>
      <c r="E64" s="370">
        <v>1</v>
      </c>
      <c r="F64" s="371">
        <v>11805448</v>
      </c>
      <c r="G64" s="436">
        <f>IF(ISBLANK(F64),"-",(F64/$D$50*$D$47*$B$68)*($B$57/$D$64))</f>
        <v>276.27243195237423</v>
      </c>
      <c r="H64" s="454">
        <f t="shared" si="0"/>
        <v>92.090810650791411</v>
      </c>
    </row>
    <row r="65" spans="1:8" ht="26.25" customHeight="1" x14ac:dyDescent="0.45">
      <c r="A65" s="312" t="s">
        <v>99</v>
      </c>
      <c r="B65" s="313">
        <v>1</v>
      </c>
      <c r="C65" s="516"/>
      <c r="D65" s="519"/>
      <c r="E65" s="372">
        <v>2</v>
      </c>
      <c r="F65" s="325">
        <v>11787563</v>
      </c>
      <c r="G65" s="437">
        <f>IF(ISBLANK(F65),"-",(F65/$D$50*$D$47*$B$68)*($B$57/$D$64))</f>
        <v>275.85388515555059</v>
      </c>
      <c r="H65" s="455">
        <f t="shared" si="0"/>
        <v>91.951295051850195</v>
      </c>
    </row>
    <row r="66" spans="1:8" ht="26.25" customHeight="1" x14ac:dyDescent="0.45">
      <c r="A66" s="312" t="s">
        <v>100</v>
      </c>
      <c r="B66" s="313">
        <v>1</v>
      </c>
      <c r="C66" s="516"/>
      <c r="D66" s="519"/>
      <c r="E66" s="372">
        <v>3</v>
      </c>
      <c r="F66" s="325">
        <v>11801569</v>
      </c>
      <c r="G66" s="437">
        <f>IF(ISBLANK(F66),"-",(F66/$D$50*$D$47*$B$68)*($B$57/$D$64))</f>
        <v>276.18165515478518</v>
      </c>
      <c r="H66" s="455">
        <f t="shared" si="0"/>
        <v>92.060551718261735</v>
      </c>
    </row>
    <row r="67" spans="1:8" ht="27" customHeight="1" x14ac:dyDescent="0.45">
      <c r="A67" s="312" t="s">
        <v>101</v>
      </c>
      <c r="B67" s="313">
        <v>1</v>
      </c>
      <c r="C67" s="517"/>
      <c r="D67" s="520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5">
      <c r="A68" s="312" t="s">
        <v>102</v>
      </c>
      <c r="B68" s="376">
        <f>(B67/B66)*(B65/B64)*(B63/B62)*(B61/B60)*B59</f>
        <v>5000</v>
      </c>
      <c r="C68" s="515" t="s">
        <v>103</v>
      </c>
      <c r="D68" s="518">
        <v>1020.29</v>
      </c>
      <c r="E68" s="370">
        <v>1</v>
      </c>
      <c r="F68" s="371"/>
      <c r="G68" s="436" t="str">
        <f>IF(ISBLANK(F68),"-",(F68/$D$50*$D$47*$B$68)*($B$57/$D$68))</f>
        <v>-</v>
      </c>
      <c r="H68" s="455" t="str">
        <f t="shared" si="0"/>
        <v>-</v>
      </c>
    </row>
    <row r="69" spans="1:8" ht="27" customHeight="1" x14ac:dyDescent="0.5">
      <c r="A69" s="360" t="s">
        <v>104</v>
      </c>
      <c r="B69" s="377">
        <f>(D47*B68)/B56*B57</f>
        <v>1018.8154999999999</v>
      </c>
      <c r="C69" s="516"/>
      <c r="D69" s="519"/>
      <c r="E69" s="372">
        <v>2</v>
      </c>
      <c r="F69" s="325"/>
      <c r="G69" s="437" t="str">
        <f>IF(ISBLANK(F69),"-",(F69/$D$50*$D$47*$B$68)*($B$57/$D$68))</f>
        <v>-</v>
      </c>
      <c r="H69" s="455" t="str">
        <f t="shared" si="0"/>
        <v>-</v>
      </c>
    </row>
    <row r="70" spans="1:8" ht="26.25" customHeight="1" x14ac:dyDescent="0.45">
      <c r="A70" s="529" t="s">
        <v>77</v>
      </c>
      <c r="B70" s="530"/>
      <c r="C70" s="516"/>
      <c r="D70" s="519"/>
      <c r="E70" s="372">
        <v>3</v>
      </c>
      <c r="F70" s="325"/>
      <c r="G70" s="437" t="str">
        <f>IF(ISBLANK(F70),"-",(F70/$D$50*$D$47*$B$68)*($B$57/$D$68))</f>
        <v>-</v>
      </c>
      <c r="H70" s="455" t="str">
        <f t="shared" si="0"/>
        <v>-</v>
      </c>
    </row>
    <row r="71" spans="1:8" ht="27" customHeight="1" x14ac:dyDescent="0.45">
      <c r="A71" s="531"/>
      <c r="B71" s="532"/>
      <c r="C71" s="527"/>
      <c r="D71" s="520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5">
      <c r="A72" s="378"/>
      <c r="B72" s="378"/>
      <c r="C72" s="378"/>
      <c r="D72" s="378"/>
      <c r="E72" s="378"/>
      <c r="F72" s="380" t="s">
        <v>70</v>
      </c>
      <c r="G72" s="442">
        <f>AVERAGE(G60:G71)</f>
        <v>274.02543659841621</v>
      </c>
      <c r="H72" s="457">
        <f>AVERAGE(H60:H71)</f>
        <v>91.341812199472045</v>
      </c>
    </row>
    <row r="73" spans="1:8" ht="26.25" customHeight="1" x14ac:dyDescent="0.45">
      <c r="C73" s="378"/>
      <c r="D73" s="378"/>
      <c r="E73" s="378"/>
      <c r="F73" s="381" t="s">
        <v>83</v>
      </c>
      <c r="G73" s="441">
        <f>STDEV(G60:G71)/G72</f>
        <v>8.8879280915511623E-3</v>
      </c>
      <c r="H73" s="441">
        <f>STDEV(H60:H71)/H72</f>
        <v>8.8879280915512022E-3</v>
      </c>
    </row>
    <row r="74" spans="1:8" ht="27" customHeight="1" x14ac:dyDescent="0.45">
      <c r="A74" s="378"/>
      <c r="B74" s="378"/>
      <c r="C74" s="379"/>
      <c r="D74" s="379"/>
      <c r="E74" s="382"/>
      <c r="F74" s="383" t="s">
        <v>20</v>
      </c>
      <c r="G74" s="384">
        <f>COUNT(G60:G71)</f>
        <v>6</v>
      </c>
      <c r="H74" s="384">
        <f>COUNT(H60:H71)</f>
        <v>6</v>
      </c>
    </row>
    <row r="76" spans="1:8" ht="26.25" customHeight="1" x14ac:dyDescent="0.45">
      <c r="A76" s="296" t="s">
        <v>105</v>
      </c>
      <c r="B76" s="385" t="s">
        <v>106</v>
      </c>
      <c r="C76" s="523" t="str">
        <f>B26</f>
        <v>TENOFOVIR DISOPROXIL FUMARATE</v>
      </c>
      <c r="D76" s="523"/>
      <c r="E76" s="386" t="s">
        <v>107</v>
      </c>
      <c r="F76" s="386"/>
      <c r="G76" s="473">
        <f>H72</f>
        <v>91.341812199472045</v>
      </c>
      <c r="H76" s="388"/>
    </row>
    <row r="77" spans="1:8" ht="18" x14ac:dyDescent="0.35">
      <c r="A77" s="295" t="s">
        <v>108</v>
      </c>
      <c r="B77" s="295" t="s">
        <v>109</v>
      </c>
    </row>
    <row r="78" spans="1:8" ht="18" x14ac:dyDescent="0.35">
      <c r="A78" s="295"/>
      <c r="B78" s="295"/>
    </row>
    <row r="79" spans="1:8" ht="26.25" customHeight="1" x14ac:dyDescent="0.45">
      <c r="A79" s="296" t="s">
        <v>4</v>
      </c>
      <c r="B79" s="509" t="str">
        <f>B26</f>
        <v>TENOFOVIR DISOPROXIL FUMARATE</v>
      </c>
      <c r="C79" s="509"/>
    </row>
    <row r="80" spans="1:8" ht="26.25" customHeight="1" x14ac:dyDescent="0.45">
      <c r="A80" s="297" t="s">
        <v>47</v>
      </c>
      <c r="B80" s="509" t="str">
        <f>B27</f>
        <v>T11-10</v>
      </c>
      <c r="C80" s="509"/>
    </row>
    <row r="81" spans="1:12" ht="27" customHeight="1" x14ac:dyDescent="0.45">
      <c r="A81" s="297" t="s">
        <v>6</v>
      </c>
      <c r="B81" s="389">
        <f>B28</f>
        <v>99.54</v>
      </c>
    </row>
    <row r="82" spans="1:12" s="14" customFormat="1" ht="27" customHeight="1" x14ac:dyDescent="0.5">
      <c r="A82" s="297" t="s">
        <v>48</v>
      </c>
      <c r="B82" s="299">
        <v>0</v>
      </c>
      <c r="C82" s="500" t="s">
        <v>49</v>
      </c>
      <c r="D82" s="501"/>
      <c r="E82" s="501"/>
      <c r="F82" s="501"/>
      <c r="G82" s="502"/>
      <c r="I82" s="300"/>
      <c r="J82" s="300"/>
      <c r="K82" s="300"/>
      <c r="L82" s="300"/>
    </row>
    <row r="83" spans="1:12" s="14" customFormat="1" ht="19.5" customHeight="1" x14ac:dyDescent="0.35">
      <c r="A83" s="297" t="s">
        <v>50</v>
      </c>
      <c r="B83" s="301">
        <f>B81-B82</f>
        <v>99.54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5">
      <c r="A84" s="297" t="s">
        <v>51</v>
      </c>
      <c r="B84" s="304">
        <v>1</v>
      </c>
      <c r="C84" s="503" t="s">
        <v>110</v>
      </c>
      <c r="D84" s="504"/>
      <c r="E84" s="504"/>
      <c r="F84" s="504"/>
      <c r="G84" s="504"/>
      <c r="H84" s="505"/>
      <c r="I84" s="300"/>
      <c r="J84" s="300"/>
      <c r="K84" s="300"/>
      <c r="L84" s="300"/>
    </row>
    <row r="85" spans="1:12" s="14" customFormat="1" ht="27" customHeight="1" x14ac:dyDescent="0.45">
      <c r="A85" s="297" t="s">
        <v>53</v>
      </c>
      <c r="B85" s="304">
        <v>1</v>
      </c>
      <c r="C85" s="503" t="s">
        <v>111</v>
      </c>
      <c r="D85" s="504"/>
      <c r="E85" s="504"/>
      <c r="F85" s="504"/>
      <c r="G85" s="504"/>
      <c r="H85" s="505"/>
      <c r="I85" s="300"/>
      <c r="J85" s="300"/>
      <c r="K85" s="300"/>
      <c r="L85" s="300"/>
    </row>
    <row r="86" spans="1:12" s="14" customFormat="1" ht="18" x14ac:dyDescent="0.35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" x14ac:dyDescent="0.35">
      <c r="A87" s="297" t="s">
        <v>55</v>
      </c>
      <c r="B87" s="309">
        <f>B84/B85</f>
        <v>1</v>
      </c>
      <c r="C87" s="287" t="s">
        <v>56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5">
      <c r="A88" s="295"/>
      <c r="B88" s="295"/>
    </row>
    <row r="89" spans="1:12" ht="27" customHeight="1" x14ac:dyDescent="0.45">
      <c r="A89" s="310" t="s">
        <v>57</v>
      </c>
      <c r="B89" s="311">
        <v>50</v>
      </c>
      <c r="D89" s="390" t="s">
        <v>58</v>
      </c>
      <c r="E89" s="391"/>
      <c r="F89" s="506" t="s">
        <v>59</v>
      </c>
      <c r="G89" s="508"/>
    </row>
    <row r="90" spans="1:12" ht="27" customHeight="1" x14ac:dyDescent="0.45">
      <c r="A90" s="312" t="s">
        <v>60</v>
      </c>
      <c r="B90" s="313">
        <v>10</v>
      </c>
      <c r="C90" s="392" t="s">
        <v>61</v>
      </c>
      <c r="D90" s="315" t="s">
        <v>62</v>
      </c>
      <c r="E90" s="316" t="s">
        <v>63</v>
      </c>
      <c r="F90" s="315" t="s">
        <v>62</v>
      </c>
      <c r="G90" s="393" t="s">
        <v>63</v>
      </c>
      <c r="I90" s="318" t="s">
        <v>64</v>
      </c>
    </row>
    <row r="91" spans="1:12" ht="26.25" customHeight="1" x14ac:dyDescent="0.45">
      <c r="A91" s="312" t="s">
        <v>65</v>
      </c>
      <c r="B91" s="313">
        <v>20</v>
      </c>
      <c r="C91" s="394">
        <v>1</v>
      </c>
      <c r="D91" s="320"/>
      <c r="E91" s="321" t="str">
        <f>IF(ISBLANK(D91),"-",$D$101/$D$98*D91)</f>
        <v>-</v>
      </c>
      <c r="F91" s="320"/>
      <c r="G91" s="322" t="str">
        <f>IF(ISBLANK(F91),"-",$D$101/$F$98*F91)</f>
        <v>-</v>
      </c>
      <c r="I91" s="323"/>
    </row>
    <row r="92" spans="1:12" ht="26.25" customHeight="1" x14ac:dyDescent="0.45">
      <c r="A92" s="312" t="s">
        <v>66</v>
      </c>
      <c r="B92" s="313">
        <v>1</v>
      </c>
      <c r="C92" s="379">
        <v>2</v>
      </c>
      <c r="D92" s="325"/>
      <c r="E92" s="326" t="str">
        <f>IF(ISBLANK(D92),"-",$D$101/$D$98*D92)</f>
        <v>-</v>
      </c>
      <c r="F92" s="325"/>
      <c r="G92" s="327" t="str">
        <f>IF(ISBLANK(F92),"-",$D$101/$F$98*F92)</f>
        <v>-</v>
      </c>
      <c r="I92" s="510" t="e">
        <f>ABS((F96/D96*D95)-F95)/D95</f>
        <v>#DIV/0!</v>
      </c>
    </row>
    <row r="93" spans="1:12" ht="26.25" customHeight="1" x14ac:dyDescent="0.45">
      <c r="A93" s="312" t="s">
        <v>67</v>
      </c>
      <c r="B93" s="313">
        <v>1</v>
      </c>
      <c r="C93" s="379">
        <v>3</v>
      </c>
      <c r="D93" s="325"/>
      <c r="E93" s="326" t="str">
        <f>IF(ISBLANK(D93),"-",$D$101/$D$98*D93)</f>
        <v>-</v>
      </c>
      <c r="F93" s="325"/>
      <c r="G93" s="327" t="str">
        <f>IF(ISBLANK(F93),"-",$D$101/$F$98*F93)</f>
        <v>-</v>
      </c>
      <c r="I93" s="510"/>
    </row>
    <row r="94" spans="1:12" ht="27" customHeight="1" x14ac:dyDescent="0.45">
      <c r="A94" s="312" t="s">
        <v>68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5">
      <c r="A95" s="312" t="s">
        <v>69</v>
      </c>
      <c r="B95" s="313">
        <v>1</v>
      </c>
      <c r="C95" s="397" t="s">
        <v>70</v>
      </c>
      <c r="D95" s="398" t="e">
        <f>AVERAGE(D91:D94)</f>
        <v>#DIV/0!</v>
      </c>
      <c r="E95" s="336" t="e">
        <f>AVERAGE(E91:E94)</f>
        <v>#DIV/0!</v>
      </c>
      <c r="F95" s="399" t="e">
        <f>AVERAGE(F91:F94)</f>
        <v>#DIV/0!</v>
      </c>
      <c r="G95" s="400" t="e">
        <f>AVERAGE(G91:G94)</f>
        <v>#DIV/0!</v>
      </c>
    </row>
    <row r="96" spans="1:12" ht="26.25" customHeight="1" x14ac:dyDescent="0.45">
      <c r="A96" s="312" t="s">
        <v>71</v>
      </c>
      <c r="B96" s="298">
        <v>1</v>
      </c>
      <c r="C96" s="401" t="s">
        <v>112</v>
      </c>
      <c r="D96" s="402">
        <v>31.17</v>
      </c>
      <c r="E96" s="328"/>
      <c r="F96" s="340">
        <v>29.92</v>
      </c>
    </row>
    <row r="97" spans="1:10" ht="26.25" customHeight="1" x14ac:dyDescent="0.45">
      <c r="A97" s="312" t="s">
        <v>73</v>
      </c>
      <c r="B97" s="298">
        <v>1</v>
      </c>
      <c r="C97" s="403" t="s">
        <v>113</v>
      </c>
      <c r="D97" s="404">
        <f>D96*$B$87</f>
        <v>31.17</v>
      </c>
      <c r="E97" s="343"/>
      <c r="F97" s="342">
        <f>F96*$B$87</f>
        <v>29.92</v>
      </c>
    </row>
    <row r="98" spans="1:10" ht="19.5" customHeight="1" x14ac:dyDescent="0.35">
      <c r="A98" s="312" t="s">
        <v>75</v>
      </c>
      <c r="B98" s="405">
        <f>(B97/B96)*(B95/B94)*(B93/B92)*(B91/B90)*B89</f>
        <v>100</v>
      </c>
      <c r="C98" s="403" t="s">
        <v>114</v>
      </c>
      <c r="D98" s="406">
        <f>D97*$B$83/100</f>
        <v>31.026618000000003</v>
      </c>
      <c r="E98" s="346"/>
      <c r="F98" s="345">
        <f>F97*$B$83/100</f>
        <v>29.782368000000002</v>
      </c>
    </row>
    <row r="99" spans="1:10" ht="19.5" customHeight="1" x14ac:dyDescent="0.35">
      <c r="A99" s="511" t="s">
        <v>77</v>
      </c>
      <c r="B99" s="525"/>
      <c r="C99" s="403" t="s">
        <v>115</v>
      </c>
      <c r="D99" s="407">
        <f>D98/$B$98</f>
        <v>0.31026618</v>
      </c>
      <c r="E99" s="346"/>
      <c r="F99" s="349">
        <f>F98/$B$98</f>
        <v>0.29782368000000004</v>
      </c>
      <c r="G99" s="408"/>
      <c r="H99" s="338"/>
    </row>
    <row r="100" spans="1:10" ht="19.5" customHeight="1" x14ac:dyDescent="0.35">
      <c r="A100" s="513"/>
      <c r="B100" s="526"/>
      <c r="C100" s="403" t="s">
        <v>79</v>
      </c>
      <c r="D100" s="409">
        <f>$B$56/$B$116</f>
        <v>0.33333333333333331</v>
      </c>
      <c r="F100" s="354"/>
      <c r="G100" s="410"/>
      <c r="H100" s="338"/>
    </row>
    <row r="101" spans="1:10" ht="18" x14ac:dyDescent="0.35">
      <c r="C101" s="403" t="s">
        <v>80</v>
      </c>
      <c r="D101" s="404">
        <f>D100*$B$98</f>
        <v>33.333333333333329</v>
      </c>
      <c r="F101" s="354"/>
      <c r="G101" s="408"/>
      <c r="H101" s="338"/>
    </row>
    <row r="102" spans="1:10" ht="19.5" customHeight="1" x14ac:dyDescent="0.35">
      <c r="C102" s="411" t="s">
        <v>81</v>
      </c>
      <c r="D102" s="412">
        <f>D101/B34</f>
        <v>33.333333333333329</v>
      </c>
      <c r="F102" s="358"/>
      <c r="G102" s="408"/>
      <c r="H102" s="338"/>
      <c r="J102" s="413"/>
    </row>
    <row r="103" spans="1:10" ht="18" x14ac:dyDescent="0.35">
      <c r="C103" s="414" t="s">
        <v>116</v>
      </c>
      <c r="D103" s="415" t="e">
        <f>AVERAGE(E91:E94,G91:G94)</f>
        <v>#DIV/0!</v>
      </c>
      <c r="F103" s="358"/>
      <c r="G103" s="416"/>
      <c r="H103" s="338"/>
      <c r="J103" s="417"/>
    </row>
    <row r="104" spans="1:10" ht="18" x14ac:dyDescent="0.35">
      <c r="C104" s="381" t="s">
        <v>83</v>
      </c>
      <c r="D104" s="418" t="e">
        <f>STDEV(E91:E94,G91:G94)/D103</f>
        <v>#DIV/0!</v>
      </c>
      <c r="F104" s="358"/>
      <c r="G104" s="408"/>
      <c r="H104" s="338"/>
      <c r="J104" s="417"/>
    </row>
    <row r="105" spans="1:10" ht="19.5" customHeight="1" x14ac:dyDescent="0.35">
      <c r="C105" s="383" t="s">
        <v>20</v>
      </c>
      <c r="D105" s="419">
        <f>COUNT(E91:E94,G91:G94)</f>
        <v>0</v>
      </c>
      <c r="F105" s="358"/>
      <c r="G105" s="408"/>
      <c r="H105" s="338"/>
      <c r="J105" s="417"/>
    </row>
    <row r="106" spans="1:10" ht="19.5" customHeight="1" x14ac:dyDescent="0.35">
      <c r="A106" s="362"/>
      <c r="B106" s="362"/>
      <c r="C106" s="362"/>
      <c r="D106" s="362"/>
      <c r="E106" s="362"/>
    </row>
    <row r="107" spans="1:10" ht="27" customHeight="1" x14ac:dyDescent="0.45">
      <c r="A107" s="310" t="s">
        <v>117</v>
      </c>
      <c r="B107" s="311">
        <v>900</v>
      </c>
      <c r="C107" s="458" t="s">
        <v>118</v>
      </c>
      <c r="D107" s="458" t="s">
        <v>62</v>
      </c>
      <c r="E107" s="458" t="s">
        <v>119</v>
      </c>
      <c r="F107" s="420" t="s">
        <v>120</v>
      </c>
    </row>
    <row r="108" spans="1:10" ht="26.25" customHeight="1" x14ac:dyDescent="0.45">
      <c r="A108" s="312" t="s">
        <v>121</v>
      </c>
      <c r="B108" s="313">
        <v>1</v>
      </c>
      <c r="C108" s="463">
        <v>1</v>
      </c>
      <c r="D108" s="464"/>
      <c r="E108" s="438" t="str">
        <f t="shared" ref="E108:E113" si="1">IF(ISBLANK(D108),"-",D108/$D$103*$D$100*$B$116)</f>
        <v>-</v>
      </c>
      <c r="F108" s="465" t="str">
        <f t="shared" ref="F108:F113" si="2">IF(ISBLANK(D108), "-", (E108/$B$56)*100)</f>
        <v>-</v>
      </c>
    </row>
    <row r="109" spans="1:10" ht="26.25" customHeight="1" x14ac:dyDescent="0.45">
      <c r="A109" s="312" t="s">
        <v>94</v>
      </c>
      <c r="B109" s="313">
        <v>1</v>
      </c>
      <c r="C109" s="459">
        <v>2</v>
      </c>
      <c r="D109" s="461"/>
      <c r="E109" s="439" t="str">
        <f t="shared" si="1"/>
        <v>-</v>
      </c>
      <c r="F109" s="466" t="str">
        <f t="shared" si="2"/>
        <v>-</v>
      </c>
    </row>
    <row r="110" spans="1:10" ht="26.25" customHeight="1" x14ac:dyDescent="0.45">
      <c r="A110" s="312" t="s">
        <v>95</v>
      </c>
      <c r="B110" s="313">
        <v>1</v>
      </c>
      <c r="C110" s="459">
        <v>3</v>
      </c>
      <c r="D110" s="461"/>
      <c r="E110" s="439" t="str">
        <f t="shared" si="1"/>
        <v>-</v>
      </c>
      <c r="F110" s="466" t="str">
        <f t="shared" si="2"/>
        <v>-</v>
      </c>
    </row>
    <row r="111" spans="1:10" ht="26.25" customHeight="1" x14ac:dyDescent="0.45">
      <c r="A111" s="312" t="s">
        <v>96</v>
      </c>
      <c r="B111" s="313">
        <v>1</v>
      </c>
      <c r="C111" s="459">
        <v>4</v>
      </c>
      <c r="D111" s="461"/>
      <c r="E111" s="439" t="str">
        <f t="shared" si="1"/>
        <v>-</v>
      </c>
      <c r="F111" s="466" t="str">
        <f t="shared" si="2"/>
        <v>-</v>
      </c>
    </row>
    <row r="112" spans="1:10" ht="26.25" customHeight="1" x14ac:dyDescent="0.45">
      <c r="A112" s="312" t="s">
        <v>97</v>
      </c>
      <c r="B112" s="313">
        <v>1</v>
      </c>
      <c r="C112" s="459">
        <v>5</v>
      </c>
      <c r="D112" s="461"/>
      <c r="E112" s="439" t="str">
        <f t="shared" si="1"/>
        <v>-</v>
      </c>
      <c r="F112" s="466" t="str">
        <f t="shared" si="2"/>
        <v>-</v>
      </c>
    </row>
    <row r="113" spans="1:10" ht="27" customHeight="1" x14ac:dyDescent="0.45">
      <c r="A113" s="312" t="s">
        <v>99</v>
      </c>
      <c r="B113" s="313">
        <v>1</v>
      </c>
      <c r="C113" s="460">
        <v>6</v>
      </c>
      <c r="D113" s="462"/>
      <c r="E113" s="440" t="str">
        <f t="shared" si="1"/>
        <v>-</v>
      </c>
      <c r="F113" s="467" t="str">
        <f t="shared" si="2"/>
        <v>-</v>
      </c>
    </row>
    <row r="114" spans="1:10" ht="27" customHeight="1" x14ac:dyDescent="0.45">
      <c r="A114" s="312" t="s">
        <v>100</v>
      </c>
      <c r="B114" s="313">
        <v>1</v>
      </c>
      <c r="C114" s="421"/>
      <c r="D114" s="379"/>
      <c r="E114" s="286"/>
      <c r="F114" s="468"/>
    </row>
    <row r="115" spans="1:10" ht="26.25" customHeight="1" x14ac:dyDescent="0.45">
      <c r="A115" s="312" t="s">
        <v>101</v>
      </c>
      <c r="B115" s="313">
        <v>1</v>
      </c>
      <c r="C115" s="421"/>
      <c r="D115" s="445" t="s">
        <v>70</v>
      </c>
      <c r="E115" s="447" t="e">
        <f>AVERAGE(E108:E113)</f>
        <v>#DIV/0!</v>
      </c>
      <c r="F115" s="469" t="e">
        <f>AVERAGE(F108:F113)</f>
        <v>#DIV/0!</v>
      </c>
    </row>
    <row r="116" spans="1:10" ht="27" customHeight="1" x14ac:dyDescent="0.45">
      <c r="A116" s="312" t="s">
        <v>102</v>
      </c>
      <c r="B116" s="344">
        <f>(B115/B114)*(B113/B112)*(B111/B110)*(B109/B108)*B107</f>
        <v>900</v>
      </c>
      <c r="C116" s="422"/>
      <c r="D116" s="446" t="s">
        <v>83</v>
      </c>
      <c r="E116" s="444" t="e">
        <f>STDEV(E108:E113)/E115</f>
        <v>#DIV/0!</v>
      </c>
      <c r="F116" s="423" t="e">
        <f>STDEV(F108:F113)/F115</f>
        <v>#DIV/0!</v>
      </c>
      <c r="I116" s="286"/>
    </row>
    <row r="117" spans="1:10" ht="27" customHeight="1" x14ac:dyDescent="0.45">
      <c r="A117" s="511" t="s">
        <v>77</v>
      </c>
      <c r="B117" s="512"/>
      <c r="C117" s="424"/>
      <c r="D117" s="383" t="s">
        <v>20</v>
      </c>
      <c r="E117" s="449">
        <f>COUNT(E108:E113)</f>
        <v>0</v>
      </c>
      <c r="F117" s="450">
        <f>COUNT(F108:F113)</f>
        <v>0</v>
      </c>
      <c r="I117" s="286"/>
      <c r="J117" s="417"/>
    </row>
    <row r="118" spans="1:10" ht="26.25" customHeight="1" x14ac:dyDescent="0.35">
      <c r="A118" s="513"/>
      <c r="B118" s="514"/>
      <c r="C118" s="286"/>
      <c r="D118" s="448"/>
      <c r="E118" s="489" t="s">
        <v>122</v>
      </c>
      <c r="F118" s="490"/>
      <c r="G118" s="286"/>
      <c r="H118" s="286"/>
      <c r="I118" s="286"/>
    </row>
    <row r="119" spans="1:10" ht="25.5" customHeight="1" x14ac:dyDescent="0.45">
      <c r="A119" s="433"/>
      <c r="B119" s="308"/>
      <c r="C119" s="286"/>
      <c r="D119" s="446" t="s">
        <v>123</v>
      </c>
      <c r="E119" s="451">
        <f>MIN(E108:E113)</f>
        <v>0</v>
      </c>
      <c r="F119" s="470">
        <f>MIN(F108:F113)</f>
        <v>0</v>
      </c>
      <c r="G119" s="286"/>
      <c r="H119" s="286"/>
      <c r="I119" s="286"/>
    </row>
    <row r="120" spans="1:10" ht="24" customHeight="1" x14ac:dyDescent="0.45">
      <c r="A120" s="433"/>
      <c r="B120" s="308"/>
      <c r="C120" s="286"/>
      <c r="D120" s="355" t="s">
        <v>124</v>
      </c>
      <c r="E120" s="452">
        <f>MAX(E108:E113)</f>
        <v>0</v>
      </c>
      <c r="F120" s="471">
        <f>MAX(F108:F113)</f>
        <v>0</v>
      </c>
      <c r="G120" s="286"/>
      <c r="H120" s="286"/>
      <c r="I120" s="286"/>
    </row>
    <row r="121" spans="1:10" ht="27" customHeight="1" x14ac:dyDescent="0.35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5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" x14ac:dyDescent="0.35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85">
      <c r="A124" s="296" t="s">
        <v>105</v>
      </c>
      <c r="B124" s="385" t="s">
        <v>125</v>
      </c>
      <c r="C124" s="523" t="str">
        <f>B26</f>
        <v>TENOFOVIR DISOPROXIL FUMARATE</v>
      </c>
      <c r="D124" s="523"/>
      <c r="E124" s="386" t="s">
        <v>126</v>
      </c>
      <c r="F124" s="386"/>
      <c r="G124" s="472" t="e">
        <f>F115</f>
        <v>#DIV/0!</v>
      </c>
      <c r="H124" s="286"/>
      <c r="I124" s="286"/>
    </row>
    <row r="125" spans="1:10" ht="45.75" customHeight="1" x14ac:dyDescent="0.85">
      <c r="A125" s="296"/>
      <c r="B125" s="385" t="s">
        <v>127</v>
      </c>
      <c r="C125" s="297" t="s">
        <v>128</v>
      </c>
      <c r="D125" s="472">
        <f>MIN(F108:F113)</f>
        <v>0</v>
      </c>
      <c r="E125" s="397" t="s">
        <v>129</v>
      </c>
      <c r="F125" s="472">
        <f>MAX(F108:F113)</f>
        <v>0</v>
      </c>
      <c r="G125" s="387"/>
      <c r="H125" s="286"/>
      <c r="I125" s="286"/>
    </row>
    <row r="126" spans="1:10" ht="19.5" customHeight="1" x14ac:dyDescent="0.35">
      <c r="A126" s="425"/>
      <c r="B126" s="425"/>
      <c r="C126" s="426"/>
      <c r="D126" s="426"/>
      <c r="E126" s="426"/>
      <c r="F126" s="426"/>
      <c r="G126" s="426"/>
      <c r="H126" s="426"/>
    </row>
    <row r="127" spans="1:10" ht="18" x14ac:dyDescent="0.35">
      <c r="B127" s="524" t="s">
        <v>25</v>
      </c>
      <c r="C127" s="524"/>
      <c r="E127" s="392" t="s">
        <v>26</v>
      </c>
      <c r="F127" s="427"/>
      <c r="G127" s="524" t="s">
        <v>27</v>
      </c>
      <c r="H127" s="524"/>
    </row>
    <row r="128" spans="1:10" ht="69.900000000000006" customHeight="1" x14ac:dyDescent="0.35">
      <c r="A128" s="428" t="s">
        <v>28</v>
      </c>
      <c r="B128" s="429"/>
      <c r="C128" s="429"/>
      <c r="E128" s="429"/>
      <c r="F128" s="286"/>
      <c r="G128" s="430"/>
      <c r="H128" s="430"/>
    </row>
    <row r="129" spans="1:9" ht="69.900000000000006" customHeight="1" x14ac:dyDescent="0.35">
      <c r="A129" s="428" t="s">
        <v>29</v>
      </c>
      <c r="B129" s="431"/>
      <c r="C129" s="431"/>
      <c r="E129" s="431"/>
      <c r="F129" s="286"/>
      <c r="G129" s="432"/>
      <c r="H129" s="432"/>
    </row>
    <row r="130" spans="1:9" ht="18" x14ac:dyDescent="0.35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" x14ac:dyDescent="0.35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" x14ac:dyDescent="0.35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" x14ac:dyDescent="0.35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" x14ac:dyDescent="0.35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" x14ac:dyDescent="0.35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" x14ac:dyDescent="0.35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" x14ac:dyDescent="0.35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" x14ac:dyDescent="0.35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3">
      <c r="A250" s="2">
        <v>0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EMTRICITABINE SST</vt:lpstr>
      <vt:lpstr>TENOFOVIR DISOPROXIL SST</vt:lpstr>
      <vt:lpstr>Uniformity</vt:lpstr>
      <vt:lpstr>EMTRICITABINE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2018-03-27T07:49:04Z</cp:lastPrinted>
  <dcterms:created xsi:type="dcterms:W3CDTF">2005-07-05T10:19:27Z</dcterms:created>
  <dcterms:modified xsi:type="dcterms:W3CDTF">2018-04-10T09:48:07Z</dcterms:modified>
</cp:coreProperties>
</file>