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 activeTab="2"/>
  </bookViews>
  <sheets>
    <sheet name="SST" sheetId="5" r:id="rId1"/>
    <sheet name="Uniformity" sheetId="2" r:id="rId2"/>
    <sheet name="Ritonavir " sheetId="4" r:id="rId3"/>
  </sheets>
  <definedNames>
    <definedName name="_xlnm.Print_Area" localSheetId="2">'Ritonavir '!$A$1:$I$129</definedName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B53" i="5" l="1"/>
  <c r="E51" i="5"/>
  <c r="D51" i="5"/>
  <c r="C51" i="5"/>
  <c r="B51" i="5"/>
  <c r="B52" i="5" s="1"/>
  <c r="B32" i="5"/>
  <c r="E30" i="5"/>
  <c r="D30" i="5"/>
  <c r="C30" i="5"/>
  <c r="B30" i="5"/>
  <c r="B31" i="5" s="1"/>
  <c r="B21" i="5"/>
  <c r="C124" i="4" l="1"/>
  <c r="B116" i="4"/>
  <c r="D100" i="4" s="1"/>
  <c r="B98" i="4"/>
  <c r="F95" i="4"/>
  <c r="D95" i="4"/>
  <c r="I92" i="4" s="1"/>
  <c r="B87" i="4"/>
  <c r="F97" i="4" s="1"/>
  <c r="B81" i="4"/>
  <c r="B83" i="4" s="1"/>
  <c r="B80" i="4"/>
  <c r="B79" i="4"/>
  <c r="C76" i="4"/>
  <c r="B68" i="4"/>
  <c r="B69" i="4" s="1"/>
  <c r="B57" i="4"/>
  <c r="C56" i="4"/>
  <c r="B55" i="4"/>
  <c r="B45" i="4"/>
  <c r="D48" i="4" s="1"/>
  <c r="F44" i="4"/>
  <c r="F42" i="4"/>
  <c r="D42" i="4"/>
  <c r="B34" i="4"/>
  <c r="D44" i="4" s="1"/>
  <c r="B30" i="4"/>
  <c r="D50" i="2"/>
  <c r="C50" i="2"/>
  <c r="C49" i="2"/>
  <c r="C46" i="2"/>
  <c r="B49" i="2" s="1"/>
  <c r="C45" i="2"/>
  <c r="D43" i="2"/>
  <c r="D42" i="2"/>
  <c r="D41" i="2"/>
  <c r="D39" i="2"/>
  <c r="D35" i="2"/>
  <c r="D34" i="2"/>
  <c r="D33" i="2"/>
  <c r="D31" i="2"/>
  <c r="D27" i="2"/>
  <c r="D26" i="2"/>
  <c r="D25" i="2"/>
  <c r="C19" i="2"/>
  <c r="I39" i="4" l="1"/>
  <c r="D101" i="4"/>
  <c r="D102" i="4" s="1"/>
  <c r="D45" i="4"/>
  <c r="E40" i="4" s="1"/>
  <c r="F45" i="4"/>
  <c r="G40" i="4" s="1"/>
  <c r="F98" i="4"/>
  <c r="F99" i="4" s="1"/>
  <c r="G41" i="4"/>
  <c r="D97" i="4"/>
  <c r="D98" i="4" s="1"/>
  <c r="D99" i="4" s="1"/>
  <c r="D24" i="2"/>
  <c r="D32" i="2"/>
  <c r="D40" i="2"/>
  <c r="D49" i="2"/>
  <c r="D28" i="2"/>
  <c r="D36" i="2"/>
  <c r="D49" i="4"/>
  <c r="D29" i="2"/>
  <c r="D37" i="2"/>
  <c r="D30" i="2"/>
  <c r="D38" i="2"/>
  <c r="F46" i="4" l="1"/>
  <c r="G38" i="4"/>
  <c r="G39" i="4"/>
  <c r="G92" i="4"/>
  <c r="G94" i="4"/>
  <c r="E41" i="4"/>
  <c r="E39" i="4"/>
  <c r="E38" i="4"/>
  <c r="D46" i="4"/>
  <c r="E92" i="4"/>
  <c r="G91" i="4"/>
  <c r="E91" i="4"/>
  <c r="E93" i="4"/>
  <c r="G93" i="4"/>
  <c r="E94" i="4"/>
  <c r="G42" i="4" l="1"/>
  <c r="G95" i="4"/>
  <c r="D50" i="4"/>
  <c r="D51" i="4" s="1"/>
  <c r="E42" i="4"/>
  <c r="D52" i="4"/>
  <c r="E95" i="4"/>
  <c r="D103" i="4"/>
  <c r="D105" i="4"/>
  <c r="G60" i="4" l="1"/>
  <c r="G64" i="4"/>
  <c r="H64" i="4" s="1"/>
  <c r="G62" i="4"/>
  <c r="H62" i="4" s="1"/>
  <c r="G66" i="4"/>
  <c r="H66" i="4" s="1"/>
  <c r="G69" i="4"/>
  <c r="H69" i="4" s="1"/>
  <c r="G71" i="4"/>
  <c r="H71" i="4" s="1"/>
  <c r="G68" i="4"/>
  <c r="H68" i="4" s="1"/>
  <c r="G63" i="4"/>
  <c r="H63" i="4" s="1"/>
  <c r="G61" i="4"/>
  <c r="H61" i="4" s="1"/>
  <c r="G67" i="4"/>
  <c r="H67" i="4" s="1"/>
  <c r="G65" i="4"/>
  <c r="H65" i="4" s="1"/>
  <c r="G70" i="4"/>
  <c r="H70" i="4" s="1"/>
  <c r="E113" i="4"/>
  <c r="F113" i="4" s="1"/>
  <c r="E109" i="4"/>
  <c r="F109" i="4" s="1"/>
  <c r="E112" i="4"/>
  <c r="F112" i="4" s="1"/>
  <c r="E108" i="4"/>
  <c r="E111" i="4"/>
  <c r="F111" i="4" s="1"/>
  <c r="D104" i="4"/>
  <c r="E110" i="4"/>
  <c r="F110" i="4" s="1"/>
  <c r="H60" i="4"/>
  <c r="G74" i="4" l="1"/>
  <c r="G72" i="4"/>
  <c r="G73" i="4" s="1"/>
  <c r="E117" i="4"/>
  <c r="F108" i="4"/>
  <c r="E120" i="4"/>
  <c r="E115" i="4"/>
  <c r="E116" i="4" s="1"/>
  <c r="E119" i="4"/>
  <c r="H72" i="4"/>
  <c r="H74" i="4"/>
  <c r="G76" i="4" l="1"/>
  <c r="H73" i="4"/>
  <c r="F125" i="4"/>
  <c r="F117" i="4"/>
  <c r="F120" i="4"/>
  <c r="F115" i="4"/>
  <c r="D125" i="4"/>
  <c r="F119" i="4"/>
  <c r="G124" i="4" l="1"/>
  <c r="F116" i="4"/>
</calcChain>
</file>

<file path=xl/sharedStrings.xml><?xml version="1.0" encoding="utf-8"?>
<sst xmlns="http://schemas.openxmlformats.org/spreadsheetml/2006/main" count="238" uniqueCount="135">
  <si>
    <t>HPLC System Suitability Report</t>
  </si>
  <si>
    <t>Analysis Data</t>
  </si>
  <si>
    <t>Assay</t>
  </si>
  <si>
    <t>Sample(s)</t>
  </si>
  <si>
    <t>Reference Substance:</t>
  </si>
  <si>
    <t>RITONAVIR 100 MG TABLETS</t>
  </si>
  <si>
    <t>% age Purity:</t>
  </si>
  <si>
    <t>NDQB201709166</t>
  </si>
  <si>
    <t>Weight (mg):</t>
  </si>
  <si>
    <t>Ritonavir</t>
  </si>
  <si>
    <t>Standard Conc (mg/mL):</t>
  </si>
  <si>
    <t>Each film-coated tablet contains  Ritonavir 100 mg.</t>
  </si>
  <si>
    <t>2017-09-26 12:36:48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</si>
  <si>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</si>
  <si>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</si>
  <si>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</si>
  <si>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</si>
  <si>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</si>
  <si>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</si>
  <si>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</si>
  <si>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</si>
  <si>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</si>
  <si>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</si>
  <si>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</si>
  <si>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</si>
  <si>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</si>
  <si>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</si>
  <si>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</si>
  <si>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</si>
  <si>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</si>
  <si>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</si>
  <si>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</si>
  <si>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</si>
  <si>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</si>
  <si>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</si>
  <si>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</si>
  <si>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</si>
  <si>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</si>
  <si>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</si>
  <si>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</si>
  <si>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</si>
  <si>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</si>
  <si>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</si>
  <si>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</si>
  <si>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</si>
  <si>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</si>
  <si>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</si>
  <si>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</si>
  <si>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</si>
  <si>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</si>
  <si>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</si>
  <si>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</si>
  <si>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</si>
  <si>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</si>
  <si>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</si>
  <si>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</si>
  <si>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</si>
  <si>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</si>
  <si>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</si>
  <si>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</si>
  <si>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</si>
  <si>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</si>
  <si>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</si>
  <si>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</si>
  <si>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</si>
  <si>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</si>
  <si>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</si>
  <si>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</si>
  <si>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</si>
  <si>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</si>
  <si>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</si>
  <si>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</si>
  <si>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</si>
  <si>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</si>
  <si>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</si>
  <si>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</si>
  <si>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</si>
  <si>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</si>
  <si>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</si>
  <si>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</si>
  <si>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</si>
  <si>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</si>
  <si>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</si>
  <si>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</si>
  <si>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</si>
  <si>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</si>
  <si>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</si>
  <si>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</si>
  <si>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</si>
  <si>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>If correction for water content is not needed please enter 0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</si>
  <si>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</si>
  <si>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</si>
  <si>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</si>
  <si>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</si>
  <si>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</si>
  <si>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</si>
  <si>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</si>
  <si>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</si>
  <si>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</si>
  <si>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</si>
  <si>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</si>
  <si>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</si>
  <si>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 xml:space="preserve">The amount  of </t>
  </si>
  <si>
    <t xml:space="preserve">dissolved as a percentage of the stated  label claim is </t>
  </si>
  <si>
    <t>Initial Standard dilution volume (mL):</t>
  </si>
  <si>
    <t xml:space="preserve">Std Response Deviation </t>
  </si>
  <si>
    <t>Mass of RS (mg):</t>
  </si>
  <si>
    <t>Mass of WRS as free base (mg):</t>
  </si>
  <si>
    <t>Desired Concentration (mg/mL):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</si>
  <si>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</si>
  <si>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</si>
  <si>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</si>
  <si>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</si>
  <si>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</si>
  <si>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</si>
  <si>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t>Assay Smp B</t>
  </si>
  <si>
    <t>Assay Smp C</t>
  </si>
  <si>
    <t>Desired Sample Weight (mg):</t>
  </si>
  <si>
    <t>Comment: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</si>
  <si>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</si>
  <si>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</si>
  <si>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Purity correction:</t>
  </si>
  <si>
    <t>Conc (mg/mL):</t>
  </si>
  <si>
    <t>Average Normalised Peak Area:</t>
  </si>
  <si>
    <t>Unit No.</t>
  </si>
  <si>
    <t>Range</t>
  </si>
  <si>
    <t>Minimum:</t>
  </si>
  <si>
    <t>Maximum:</t>
  </si>
  <si>
    <t>Range:</t>
  </si>
  <si>
    <t>Minimum</t>
  </si>
  <si>
    <t>Maximum</t>
  </si>
  <si>
    <t>R6-1</t>
  </si>
  <si>
    <t>NORVIR 100 mg TABLETS</t>
  </si>
  <si>
    <t>RUTTO   KENNEDY</t>
  </si>
  <si>
    <t>NDQB201709163-SMP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</si>
</sst>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"/>
    <numFmt numFmtId="167" formatCode="[$-409]d/mmm/yy;@"/>
    <numFmt numFmtId="168" formatCode="0.0000\ &quot;mg&quot;"/>
    <numFmt numFmtId="169" formatCode="0.000"/>
    <numFmt numFmtId="170" formatCode="0.0\ &quot;%&quot;"/>
    <numFmt numFmtId="171" formatCode="dd\-mmm\-yyyy"/>
    <numFmt numFmtId="172" formatCode="0.0\ &quot;mg&quot;"/>
    <numFmt numFmtId="173" formatCode="0.00\ &quot;%&quot;"/>
    <numFmt numFmtId="174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sz val="14"/>
      <color rgb="FF000000"/>
      <name val="Arial"/>
    </font>
    <font>
      <i/>
      <sz val="14"/>
      <color rgb="FF000000"/>
      <name val="Arial"/>
    </font>
    <font>
      <b/>
      <i/>
      <sz val="14"/>
      <color rgb="FF000000"/>
      <name val="Book Antiqua"/>
    </font>
    <font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14"/>
      <color rgb="FF000000"/>
      <name val="Calibri"/>
    </font>
    <font>
      <b/>
      <sz val="36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5" fillId="2" borderId="0"/>
    <xf numFmtId="0" fontId="25" fillId="2" borderId="0"/>
  </cellStyleXfs>
  <cellXfs count="33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4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71" fontId="13" fillId="3" borderId="0" xfId="0" applyNumberFormat="1" applyFont="1" applyFill="1" applyAlignment="1" applyProtection="1">
      <alignment horizontal="center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21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8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5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8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4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right"/>
    </xf>
    <xf numFmtId="0" fontId="14" fillId="3" borderId="30" xfId="0" applyFont="1" applyFill="1" applyBorder="1" applyAlignment="1" applyProtection="1">
      <alignment horizontal="center"/>
      <protection locked="0"/>
    </xf>
    <xf numFmtId="0" fontId="12" fillId="2" borderId="24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44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4" fillId="3" borderId="29" xfId="0" applyFont="1" applyFill="1" applyBorder="1" applyAlignment="1" applyProtection="1">
      <alignment horizontal="center"/>
      <protection locked="0"/>
    </xf>
    <xf numFmtId="169" fontId="11" fillId="2" borderId="26" xfId="0" applyNumberFormat="1" applyFont="1" applyFill="1" applyBorder="1" applyAlignment="1">
      <alignment horizontal="center"/>
    </xf>
    <xf numFmtId="169" fontId="11" fillId="2" borderId="27" xfId="0" applyNumberFormat="1" applyFont="1" applyFill="1" applyBorder="1" applyAlignment="1">
      <alignment horizontal="center"/>
    </xf>
    <xf numFmtId="0" fontId="15" fillId="2" borderId="13" xfId="0" applyFont="1" applyFill="1" applyBorder="1"/>
    <xf numFmtId="0" fontId="11" fillId="2" borderId="30" xfId="0" applyFont="1" applyFill="1" applyBorder="1" applyAlignment="1">
      <alignment horizontal="center"/>
    </xf>
    <xf numFmtId="0" fontId="14" fillId="3" borderId="22" xfId="0" applyFont="1" applyFill="1" applyBorder="1" applyAlignment="1" applyProtection="1">
      <alignment horizontal="center"/>
      <protection locked="0"/>
    </xf>
    <xf numFmtId="169" fontId="11" fillId="2" borderId="31" xfId="0" applyNumberFormat="1" applyFont="1" applyFill="1" applyBorder="1" applyAlignment="1">
      <alignment horizontal="center"/>
    </xf>
    <xf numFmtId="169" fontId="11" fillId="2" borderId="23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2" xfId="0" applyFont="1" applyFill="1" applyBorder="1" applyAlignment="1">
      <alignment horizontal="center"/>
    </xf>
    <xf numFmtId="0" fontId="14" fillId="3" borderId="33" xfId="0" applyFont="1" applyFill="1" applyBorder="1" applyAlignment="1" applyProtection="1">
      <alignment horizontal="center"/>
      <protection locked="0"/>
    </xf>
    <xf numFmtId="169" fontId="11" fillId="2" borderId="34" xfId="0" applyNumberFormat="1" applyFont="1" applyFill="1" applyBorder="1" applyAlignment="1">
      <alignment horizontal="center"/>
    </xf>
    <xf numFmtId="169" fontId="11" fillId="2" borderId="35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30" xfId="0" applyFont="1" applyFill="1" applyBorder="1" applyAlignment="1">
      <alignment horizontal="right"/>
    </xf>
    <xf numFmtId="1" fontId="12" fillId="6" borderId="36" xfId="0" applyNumberFormat="1" applyFont="1" applyFill="1" applyBorder="1" applyAlignment="1">
      <alignment horizontal="center"/>
    </xf>
    <xf numFmtId="169" fontId="12" fillId="6" borderId="37" xfId="0" applyNumberFormat="1" applyFont="1" applyFill="1" applyBorder="1" applyAlignment="1">
      <alignment horizontal="center"/>
    </xf>
    <xf numFmtId="169" fontId="12" fillId="6" borderId="3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39" xfId="0" applyFont="1" applyFill="1" applyBorder="1" applyAlignment="1">
      <alignment horizontal="right"/>
    </xf>
    <xf numFmtId="0" fontId="14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0" xfId="0" applyFont="1" applyFill="1" applyBorder="1" applyAlignment="1">
      <alignment horizontal="center"/>
    </xf>
    <xf numFmtId="2" fontId="11" fillId="7" borderId="40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0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166" fontId="14" fillId="3" borderId="40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69" fontId="12" fillId="7" borderId="13" xfId="0" applyNumberFormat="1" applyFont="1" applyFill="1" applyBorder="1" applyAlignment="1">
      <alignment horizontal="center"/>
    </xf>
    <xf numFmtId="169" fontId="11" fillId="2" borderId="0" xfId="0" applyNumberFormat="1" applyFont="1" applyFill="1" applyAlignment="1">
      <alignment horizontal="center"/>
    </xf>
    <xf numFmtId="10" fontId="11" fillId="6" borderId="40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4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4" fillId="3" borderId="22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4" fillId="3" borderId="42" xfId="0" applyFont="1" applyFill="1" applyBorder="1" applyAlignment="1" applyProtection="1">
      <alignment horizontal="center"/>
      <protection locked="0"/>
    </xf>
    <xf numFmtId="0" fontId="13" fillId="2" borderId="30" xfId="0" applyFont="1" applyFill="1" applyBorder="1" applyAlignment="1">
      <alignment horizontal="center"/>
    </xf>
    <xf numFmtId="2" fontId="13" fillId="2" borderId="43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2" borderId="40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4" fillId="7" borderId="52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4" fillId="3" borderId="0" xfId="0" applyFont="1" applyFill="1" applyAlignment="1" applyProtection="1">
      <alignment horizontal="center"/>
      <protection locked="0"/>
    </xf>
    <xf numFmtId="0" fontId="12" fillId="2" borderId="45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1" fillId="2" borderId="4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69" fontId="14" fillId="3" borderId="33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53" xfId="0" applyNumberFormat="1" applyFont="1" applyFill="1" applyBorder="1" applyAlignment="1">
      <alignment horizontal="center"/>
    </xf>
    <xf numFmtId="1" fontId="12" fillId="6" borderId="47" xfId="0" applyNumberFormat="1" applyFont="1" applyFill="1" applyBorder="1" applyAlignment="1">
      <alignment horizontal="center"/>
    </xf>
    <xf numFmtId="169" fontId="12" fillId="6" borderId="15" xfId="0" applyNumberFormat="1" applyFont="1" applyFill="1" applyBorder="1" applyAlignment="1">
      <alignment horizontal="center"/>
    </xf>
    <xf numFmtId="0" fontId="11" fillId="2" borderId="54" xfId="0" applyFont="1" applyFill="1" applyBorder="1" applyAlignment="1">
      <alignment horizontal="right"/>
    </xf>
    <xf numFmtId="0" fontId="14" fillId="3" borderId="48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44" xfId="0" applyNumberFormat="1" applyFont="1" applyFill="1" applyBorder="1" applyAlignment="1">
      <alignment horizontal="center"/>
    </xf>
    <xf numFmtId="166" fontId="11" fillId="6" borderId="44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44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49" xfId="0" applyFont="1" applyFill="1" applyBorder="1" applyAlignment="1">
      <alignment horizontal="right"/>
    </xf>
    <xf numFmtId="2" fontId="11" fillId="7" borderId="27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69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0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/>
    </xf>
    <xf numFmtId="0" fontId="11" fillId="2" borderId="22" xfId="0" applyFont="1" applyFill="1" applyBorder="1"/>
    <xf numFmtId="10" fontId="14" fillId="6" borderId="44" xfId="0" applyNumberFormat="1" applyFont="1" applyFill="1" applyBorder="1" applyAlignment="1">
      <alignment horizontal="center"/>
    </xf>
    <xf numFmtId="0" fontId="11" fillId="2" borderId="42" xfId="0" applyFont="1" applyFill="1" applyBorder="1"/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7" fillId="2" borderId="0" xfId="0" applyFont="1" applyFill="1" applyAlignment="1">
      <alignment horizontal="right" vertical="center" wrapText="1"/>
    </xf>
    <xf numFmtId="0" fontId="14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2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4" fillId="6" borderId="55" xfId="0" applyNumberFormat="1" applyFont="1" applyFill="1" applyBorder="1" applyAlignment="1">
      <alignment horizontal="center"/>
    </xf>
    <xf numFmtId="2" fontId="14" fillId="7" borderId="32" xfId="0" applyNumberFormat="1" applyFont="1" applyFill="1" applyBorder="1" applyAlignment="1">
      <alignment horizontal="center"/>
    </xf>
    <xf numFmtId="0" fontId="13" fillId="2" borderId="0" xfId="0" applyFont="1" applyFill="1"/>
    <xf numFmtId="10" fontId="14" fillId="6" borderId="55" xfId="0" applyNumberFormat="1" applyFont="1" applyFill="1" applyBorder="1" applyAlignment="1">
      <alignment horizontal="center"/>
    </xf>
    <xf numFmtId="169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4" fillId="7" borderId="50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4" fillId="7" borderId="28" xfId="0" applyFont="1" applyFill="1" applyBorder="1" applyAlignment="1">
      <alignment horizontal="center"/>
    </xf>
    <xf numFmtId="0" fontId="14" fillId="7" borderId="56" xfId="0" applyFont="1" applyFill="1" applyBorder="1" applyAlignment="1">
      <alignment horizontal="center"/>
    </xf>
    <xf numFmtId="2" fontId="14" fillId="6" borderId="55" xfId="0" applyNumberFormat="1" applyFont="1" applyFill="1" applyBorder="1" applyAlignment="1">
      <alignment horizontal="center"/>
    </xf>
    <xf numFmtId="2" fontId="14" fillId="7" borderId="52" xfId="0" applyNumberFormat="1" applyFont="1" applyFill="1" applyBorder="1" applyAlignment="1">
      <alignment horizontal="center"/>
    </xf>
    <xf numFmtId="166" fontId="11" fillId="2" borderId="42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4" fillId="7" borderId="32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4" fillId="3" borderId="14" xfId="0" applyNumberFormat="1" applyFont="1" applyFill="1" applyBorder="1" applyAlignment="1" applyProtection="1">
      <alignment horizontal="center"/>
      <protection locked="0"/>
    </xf>
    <xf numFmtId="1" fontId="14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4" fillId="3" borderId="13" xfId="0" applyNumberFormat="1" applyFont="1" applyFill="1" applyBorder="1" applyAlignment="1" applyProtection="1">
      <alignment horizontal="center"/>
      <protection locked="0"/>
    </xf>
    <xf numFmtId="173" fontId="11" fillId="2" borderId="24" xfId="0" applyNumberFormat="1" applyFont="1" applyFill="1" applyBorder="1" applyAlignment="1">
      <alignment horizontal="center"/>
    </xf>
    <xf numFmtId="173" fontId="11" fillId="2" borderId="30" xfId="0" applyNumberFormat="1" applyFont="1" applyFill="1" applyBorder="1" applyAlignment="1">
      <alignment horizontal="center"/>
    </xf>
    <xf numFmtId="173" fontId="11" fillId="2" borderId="43" xfId="0" applyNumberFormat="1" applyFont="1" applyFill="1" applyBorder="1" applyAlignment="1">
      <alignment horizontal="center"/>
    </xf>
    <xf numFmtId="173" fontId="11" fillId="2" borderId="30" xfId="0" applyNumberFormat="1" applyFont="1" applyFill="1" applyBorder="1" applyAlignment="1">
      <alignment horizontal="center"/>
    </xf>
    <xf numFmtId="170" fontId="14" fillId="7" borderId="48" xfId="0" applyNumberFormat="1" applyFont="1" applyFill="1" applyBorder="1" applyAlignment="1">
      <alignment horizontal="center"/>
    </xf>
    <xf numFmtId="170" fontId="14" fillId="6" borderId="55" xfId="0" applyNumberFormat="1" applyFont="1" applyFill="1" applyBorder="1" applyAlignment="1">
      <alignment horizontal="center"/>
    </xf>
    <xf numFmtId="170" fontId="14" fillId="7" borderId="52" xfId="0" applyNumberFormat="1" applyFont="1" applyFill="1" applyBorder="1" applyAlignment="1">
      <alignment horizontal="center"/>
    </xf>
    <xf numFmtId="174" fontId="22" fillId="2" borderId="0" xfId="0" applyNumberFormat="1" applyFont="1" applyFill="1" applyAlignment="1">
      <alignment horizontal="center"/>
    </xf>
    <xf numFmtId="170" fontId="14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5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7" fillId="2" borderId="18" xfId="0" applyFont="1" applyFill="1" applyBorder="1" applyAlignment="1">
      <alignment horizontal="center"/>
    </xf>
    <xf numFmtId="0" fontId="17" fillId="2" borderId="19" xfId="0" applyFont="1" applyFill="1" applyBorder="1" applyAlignment="1">
      <alignment horizontal="center"/>
    </xf>
    <xf numFmtId="0" fontId="17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7" fillId="2" borderId="18" xfId="0" applyFont="1" applyFill="1" applyBorder="1" applyAlignment="1">
      <alignment horizontal="justify" vertical="center" wrapText="1"/>
    </xf>
    <xf numFmtId="0" fontId="17" fillId="2" borderId="19" xfId="0" applyFont="1" applyFill="1" applyBorder="1" applyAlignment="1">
      <alignment horizontal="justify" vertical="center" wrapText="1"/>
    </xf>
    <xf numFmtId="0" fontId="17" fillId="2" borderId="20" xfId="0" applyFont="1" applyFill="1" applyBorder="1" applyAlignment="1">
      <alignment horizontal="justify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12" fillId="2" borderId="45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10" fontId="21" fillId="2" borderId="14" xfId="0" applyNumberFormat="1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left" vertical="center" wrapText="1"/>
    </xf>
    <xf numFmtId="0" fontId="17" fillId="2" borderId="24" xfId="0" applyFont="1" applyFill="1" applyBorder="1" applyAlignment="1">
      <alignment horizontal="left" vertical="center" wrapText="1"/>
    </xf>
    <xf numFmtId="0" fontId="17" fillId="2" borderId="42" xfId="0" applyFont="1" applyFill="1" applyBorder="1" applyAlignment="1">
      <alignment horizontal="left" vertical="center" wrapText="1"/>
    </xf>
    <xf numFmtId="0" fontId="17" fillId="2" borderId="43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4" fillId="3" borderId="13" xfId="0" applyNumberFormat="1" applyFont="1" applyFill="1" applyBorder="1" applyAlignment="1" applyProtection="1">
      <alignment horizontal="center" vertical="center"/>
      <protection locked="0"/>
    </xf>
    <xf numFmtId="2" fontId="14" fillId="3" borderId="14" xfId="0" applyNumberFormat="1" applyFont="1" applyFill="1" applyBorder="1" applyAlignment="1" applyProtection="1">
      <alignment horizontal="center" vertical="center"/>
      <protection locked="0"/>
    </xf>
    <xf numFmtId="2" fontId="14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2" fillId="2" borderId="42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42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3" workbookViewId="0">
      <selection activeCell="B41" sqref="B41"/>
    </sheetView>
  </sheetViews>
  <sheetFormatPr defaultRowHeight="13.5" x14ac:dyDescent="0.25"/>
  <cols>
    <col min="1" max="2" width="27.5703125" style="239" customWidth="1"/>
    <col min="3" max="3" width="31.85546875" style="239" customWidth="1"/>
    <col min="4" max="4" width="25.85546875" style="239" customWidth="1"/>
    <col min="5" max="5" width="25.7109375" style="239" customWidth="1"/>
    <col min="6" max="6" width="23.140625" style="239" customWidth="1"/>
    <col min="7" max="7" width="28.42578125" style="239" customWidth="1"/>
    <col min="8" max="8" width="21.5703125" style="239" customWidth="1"/>
    <col min="9" max="9" width="9.140625" style="239" customWidth="1"/>
    <col min="10" max="16384" width="9.140625" style="275"/>
  </cols>
  <sheetData>
    <row r="14" spans="1:6" ht="15" customHeight="1" x14ac:dyDescent="0.3">
      <c r="A14" s="238"/>
      <c r="C14" s="240"/>
      <c r="F14" s="240"/>
    </row>
    <row r="15" spans="1:6" ht="18.75" customHeight="1" x14ac:dyDescent="0.3">
      <c r="A15" s="282" t="s">
        <v>0</v>
      </c>
      <c r="B15" s="282"/>
      <c r="C15" s="282"/>
      <c r="D15" s="282"/>
      <c r="E15" s="282"/>
    </row>
    <row r="16" spans="1:6" ht="16.5" customHeight="1" x14ac:dyDescent="0.3">
      <c r="A16" s="241" t="s">
        <v>1</v>
      </c>
      <c r="B16" s="242" t="s">
        <v>2</v>
      </c>
    </row>
    <row r="17" spans="1:5" ht="16.5" customHeight="1" x14ac:dyDescent="0.3">
      <c r="A17" s="243" t="s">
        <v>3</v>
      </c>
      <c r="B17" s="243" t="s">
        <v>132</v>
      </c>
      <c r="D17" s="244"/>
      <c r="E17" s="245"/>
    </row>
    <row r="18" spans="1:5" ht="16.5" customHeight="1" x14ac:dyDescent="0.3">
      <c r="A18" s="246" t="s">
        <v>4</v>
      </c>
      <c r="B18" s="247" t="s">
        <v>134</v>
      </c>
      <c r="C18" s="245"/>
      <c r="D18" s="245"/>
      <c r="E18" s="245"/>
    </row>
    <row r="19" spans="1:5" ht="16.5" customHeight="1" x14ac:dyDescent="0.3">
      <c r="A19" s="246" t="s">
        <v>6</v>
      </c>
      <c r="B19" s="247">
        <v>99.4</v>
      </c>
      <c r="C19" s="245"/>
      <c r="D19" s="245"/>
      <c r="E19" s="245"/>
    </row>
    <row r="20" spans="1:5" ht="16.5" customHeight="1" x14ac:dyDescent="0.3">
      <c r="A20" s="243" t="s">
        <v>8</v>
      </c>
      <c r="B20" s="247">
        <v>809.93</v>
      </c>
      <c r="C20" s="245"/>
      <c r="D20" s="245"/>
      <c r="E20" s="245"/>
    </row>
    <row r="21" spans="1:5" ht="16.5" customHeight="1" x14ac:dyDescent="0.3">
      <c r="A21" s="243" t="s">
        <v>10</v>
      </c>
      <c r="B21" s="248">
        <f>100/100*10/20</f>
        <v>0.5</v>
      </c>
      <c r="C21" s="245"/>
      <c r="D21" s="245"/>
      <c r="E21" s="245"/>
    </row>
    <row r="22" spans="1:5" ht="15.75" customHeight="1" x14ac:dyDescent="0.25">
      <c r="A22" s="245"/>
      <c r="B22" s="245"/>
      <c r="C22" s="245"/>
      <c r="D22" s="245"/>
      <c r="E22" s="245"/>
    </row>
    <row r="23" spans="1:5" ht="16.5" customHeight="1" x14ac:dyDescent="0.3">
      <c r="A23" s="249" t="s">
        <v>13</v>
      </c>
      <c r="B23" s="250" t="s">
        <v>14</v>
      </c>
      <c r="C23" s="249" t="s">
        <v>15</v>
      </c>
      <c r="D23" s="249" t="s">
        <v>16</v>
      </c>
      <c r="E23" s="249" t="s">
        <v>17</v>
      </c>
    </row>
    <row r="24" spans="1:5" ht="16.5" customHeight="1" x14ac:dyDescent="0.3">
      <c r="A24" s="251">
        <v>1</v>
      </c>
      <c r="B24" s="252">
        <v>57543229</v>
      </c>
      <c r="C24" s="252">
        <v>13868.7</v>
      </c>
      <c r="D24" s="253">
        <v>1.01</v>
      </c>
      <c r="E24" s="254">
        <v>15.4</v>
      </c>
    </row>
    <row r="25" spans="1:5" ht="16.5" customHeight="1" x14ac:dyDescent="0.3">
      <c r="A25" s="251">
        <v>2</v>
      </c>
      <c r="B25" s="252">
        <v>57692713</v>
      </c>
      <c r="C25" s="252">
        <v>13988.54</v>
      </c>
      <c r="D25" s="253">
        <v>1.03</v>
      </c>
      <c r="E25" s="253">
        <v>15.4</v>
      </c>
    </row>
    <row r="26" spans="1:5" ht="16.5" customHeight="1" x14ac:dyDescent="0.3">
      <c r="A26" s="251">
        <v>3</v>
      </c>
      <c r="B26" s="252">
        <v>57757312</v>
      </c>
      <c r="C26" s="252">
        <v>13956.48</v>
      </c>
      <c r="D26" s="253">
        <v>1.01</v>
      </c>
      <c r="E26" s="253">
        <v>15.41</v>
      </c>
    </row>
    <row r="27" spans="1:5" ht="16.5" customHeight="1" x14ac:dyDescent="0.3">
      <c r="A27" s="251">
        <v>4</v>
      </c>
      <c r="B27" s="252">
        <v>57746078</v>
      </c>
      <c r="C27" s="252">
        <v>13976.25</v>
      </c>
      <c r="D27" s="253">
        <v>1.03</v>
      </c>
      <c r="E27" s="253">
        <v>15.41</v>
      </c>
    </row>
    <row r="28" spans="1:5" ht="16.5" customHeight="1" x14ac:dyDescent="0.3">
      <c r="A28" s="251">
        <v>5</v>
      </c>
      <c r="B28" s="252">
        <v>57787804</v>
      </c>
      <c r="C28" s="252">
        <v>13953.3</v>
      </c>
      <c r="D28" s="253">
        <v>1.02</v>
      </c>
      <c r="E28" s="253">
        <v>15.42</v>
      </c>
    </row>
    <row r="29" spans="1:5" ht="16.5" customHeight="1" x14ac:dyDescent="0.3">
      <c r="A29" s="251">
        <v>6</v>
      </c>
      <c r="B29" s="255">
        <v>57754275</v>
      </c>
      <c r="C29" s="255">
        <v>13927.26</v>
      </c>
      <c r="D29" s="256">
        <v>1.02</v>
      </c>
      <c r="E29" s="256">
        <v>15.43</v>
      </c>
    </row>
    <row r="30" spans="1:5" ht="16.5" customHeight="1" x14ac:dyDescent="0.3">
      <c r="A30" s="257" t="s">
        <v>18</v>
      </c>
      <c r="B30" s="258">
        <f>AVERAGE(B24:B29)</f>
        <v>57713568.5</v>
      </c>
      <c r="C30" s="259">
        <f>AVERAGE(C24:C29)</f>
        <v>13945.088333333333</v>
      </c>
      <c r="D30" s="260">
        <f>AVERAGE(D24:D29)</f>
        <v>1.0199999999999998</v>
      </c>
      <c r="E30" s="260">
        <f>AVERAGE(E24:E29)</f>
        <v>15.411666666666667</v>
      </c>
    </row>
    <row r="31" spans="1:5" ht="16.5" customHeight="1" x14ac:dyDescent="0.3">
      <c r="A31" s="261" t="s">
        <v>19</v>
      </c>
      <c r="B31" s="262">
        <f>(STDEV(B24:B29)/B30)</f>
        <v>1.5417826991997352E-3</v>
      </c>
      <c r="C31" s="263"/>
      <c r="D31" s="263"/>
      <c r="E31" s="264"/>
    </row>
    <row r="32" spans="1:5" s="239" customFormat="1" ht="16.5" customHeight="1" x14ac:dyDescent="0.3">
      <c r="A32" s="265" t="s">
        <v>20</v>
      </c>
      <c r="B32" s="266">
        <f>COUNT(B24:B29)</f>
        <v>6</v>
      </c>
      <c r="C32" s="267"/>
      <c r="D32" s="268"/>
      <c r="E32" s="269"/>
    </row>
    <row r="33" spans="1:5" s="239" customFormat="1" ht="15.75" customHeight="1" x14ac:dyDescent="0.25">
      <c r="A33" s="245"/>
      <c r="B33" s="245"/>
      <c r="C33" s="245"/>
      <c r="D33" s="245"/>
      <c r="E33" s="245"/>
    </row>
    <row r="34" spans="1:5" s="239" customFormat="1" ht="16.5" customHeight="1" x14ac:dyDescent="0.3">
      <c r="A34" s="246" t="s">
        <v>21</v>
      </c>
      <c r="B34" s="270" t="s">
        <v>22</v>
      </c>
      <c r="C34" s="271"/>
      <c r="D34" s="271"/>
      <c r="E34" s="271"/>
    </row>
    <row r="35" spans="1:5" ht="16.5" customHeight="1" x14ac:dyDescent="0.3">
      <c r="A35" s="246"/>
      <c r="B35" s="270" t="s">
        <v>23</v>
      </c>
      <c r="C35" s="271"/>
      <c r="D35" s="271"/>
      <c r="E35" s="271"/>
    </row>
    <row r="36" spans="1:5" ht="16.5" customHeight="1" x14ac:dyDescent="0.3">
      <c r="A36" s="246"/>
      <c r="B36" s="270" t="s">
        <v>24</v>
      </c>
      <c r="C36" s="271"/>
      <c r="D36" s="271"/>
      <c r="E36" s="271"/>
    </row>
    <row r="37" spans="1:5" ht="15.75" customHeight="1" x14ac:dyDescent="0.25">
      <c r="A37" s="245"/>
      <c r="B37" s="245"/>
      <c r="C37" s="245"/>
      <c r="D37" s="245"/>
      <c r="E37" s="245"/>
    </row>
    <row r="38" spans="1:5" ht="16.5" customHeight="1" x14ac:dyDescent="0.3">
      <c r="A38" s="241" t="s">
        <v>1</v>
      </c>
      <c r="B38" s="242" t="s">
        <v>25</v>
      </c>
    </row>
    <row r="39" spans="1:5" ht="16.5" customHeight="1" x14ac:dyDescent="0.3">
      <c r="A39" s="246" t="s">
        <v>4</v>
      </c>
      <c r="B39" s="243"/>
      <c r="C39" s="245"/>
      <c r="D39" s="245"/>
      <c r="E39" s="245"/>
    </row>
    <row r="40" spans="1:5" ht="16.5" customHeight="1" x14ac:dyDescent="0.3">
      <c r="A40" s="246" t="s">
        <v>6</v>
      </c>
      <c r="B40" s="247"/>
      <c r="C40" s="245"/>
      <c r="D40" s="245"/>
      <c r="E40" s="245"/>
    </row>
    <row r="41" spans="1:5" ht="16.5" customHeight="1" x14ac:dyDescent="0.3">
      <c r="A41" s="243" t="s">
        <v>8</v>
      </c>
      <c r="B41" s="247"/>
      <c r="C41" s="245"/>
      <c r="D41" s="245"/>
      <c r="E41" s="245"/>
    </row>
    <row r="42" spans="1:5" ht="16.5" customHeight="1" x14ac:dyDescent="0.3">
      <c r="A42" s="243" t="s">
        <v>10</v>
      </c>
      <c r="B42" s="248"/>
      <c r="C42" s="245"/>
      <c r="D42" s="245"/>
      <c r="E42" s="245"/>
    </row>
    <row r="43" spans="1:5" ht="15.75" customHeight="1" x14ac:dyDescent="0.25">
      <c r="A43" s="245"/>
      <c r="B43" s="245"/>
      <c r="C43" s="245"/>
      <c r="D43" s="245"/>
      <c r="E43" s="245"/>
    </row>
    <row r="44" spans="1:5" ht="16.5" customHeight="1" x14ac:dyDescent="0.3">
      <c r="A44" s="249" t="s">
        <v>13</v>
      </c>
      <c r="B44" s="250" t="s">
        <v>14</v>
      </c>
      <c r="C44" s="249" t="s">
        <v>15</v>
      </c>
      <c r="D44" s="249" t="s">
        <v>16</v>
      </c>
      <c r="E44" s="249" t="s">
        <v>17</v>
      </c>
    </row>
    <row r="45" spans="1:5" ht="16.5" customHeight="1" x14ac:dyDescent="0.3">
      <c r="A45" s="251">
        <v>1</v>
      </c>
      <c r="B45" s="252"/>
      <c r="C45" s="252"/>
      <c r="D45" s="253"/>
      <c r="E45" s="254"/>
    </row>
    <row r="46" spans="1:5" ht="16.5" customHeight="1" x14ac:dyDescent="0.3">
      <c r="A46" s="251">
        <v>2</v>
      </c>
      <c r="B46" s="252"/>
      <c r="C46" s="252"/>
      <c r="D46" s="253"/>
      <c r="E46" s="253"/>
    </row>
    <row r="47" spans="1:5" ht="16.5" customHeight="1" x14ac:dyDescent="0.3">
      <c r="A47" s="251">
        <v>3</v>
      </c>
      <c r="B47" s="252"/>
      <c r="C47" s="252"/>
      <c r="D47" s="253"/>
      <c r="E47" s="253"/>
    </row>
    <row r="48" spans="1:5" ht="16.5" customHeight="1" x14ac:dyDescent="0.3">
      <c r="A48" s="251">
        <v>4</v>
      </c>
      <c r="B48" s="252"/>
      <c r="C48" s="252"/>
      <c r="D48" s="253"/>
      <c r="E48" s="253"/>
    </row>
    <row r="49" spans="1:7" ht="16.5" customHeight="1" x14ac:dyDescent="0.3">
      <c r="A49" s="251">
        <v>5</v>
      </c>
      <c r="B49" s="252"/>
      <c r="C49" s="252"/>
      <c r="D49" s="253"/>
      <c r="E49" s="253"/>
    </row>
    <row r="50" spans="1:7" ht="16.5" customHeight="1" x14ac:dyDescent="0.3">
      <c r="A50" s="251">
        <v>6</v>
      </c>
      <c r="B50" s="255"/>
      <c r="C50" s="255"/>
      <c r="D50" s="256"/>
      <c r="E50" s="256"/>
    </row>
    <row r="51" spans="1:7" ht="16.5" customHeight="1" x14ac:dyDescent="0.3">
      <c r="A51" s="257" t="s">
        <v>18</v>
      </c>
      <c r="B51" s="258" t="e">
        <f>AVERAGE(B45:B50)</f>
        <v>#DIV/0!</v>
      </c>
      <c r="C51" s="259" t="e">
        <f>AVERAGE(C45:C50)</f>
        <v>#DIV/0!</v>
      </c>
      <c r="D51" s="260" t="e">
        <f>AVERAGE(D45:D50)</f>
        <v>#DIV/0!</v>
      </c>
      <c r="E51" s="260" t="e">
        <f>AVERAGE(E45:E50)</f>
        <v>#DIV/0!</v>
      </c>
    </row>
    <row r="52" spans="1:7" ht="16.5" customHeight="1" x14ac:dyDescent="0.3">
      <c r="A52" s="261" t="s">
        <v>19</v>
      </c>
      <c r="B52" s="262" t="e">
        <f>(STDEV(B45:B50)/B51)</f>
        <v>#DIV/0!</v>
      </c>
      <c r="C52" s="263"/>
      <c r="D52" s="263"/>
      <c r="E52" s="264"/>
    </row>
    <row r="53" spans="1:7" s="239" customFormat="1" ht="16.5" customHeight="1" x14ac:dyDescent="0.3">
      <c r="A53" s="265" t="s">
        <v>20</v>
      </c>
      <c r="B53" s="266">
        <f>COUNT(B45:B50)</f>
        <v>0</v>
      </c>
      <c r="C53" s="267"/>
      <c r="D53" s="268"/>
      <c r="E53" s="269"/>
    </row>
    <row r="54" spans="1:7" s="239" customFormat="1" ht="15.75" customHeight="1" x14ac:dyDescent="0.25">
      <c r="A54" s="245"/>
      <c r="B54" s="245"/>
      <c r="C54" s="245"/>
      <c r="D54" s="245"/>
      <c r="E54" s="245"/>
    </row>
    <row r="55" spans="1:7" s="239" customFormat="1" ht="16.5" customHeight="1" x14ac:dyDescent="0.3">
      <c r="A55" s="246" t="s">
        <v>21</v>
      </c>
      <c r="B55" s="270" t="s">
        <v>22</v>
      </c>
      <c r="C55" s="271"/>
      <c r="D55" s="271"/>
      <c r="E55" s="271"/>
    </row>
    <row r="56" spans="1:7" ht="16.5" customHeight="1" x14ac:dyDescent="0.3">
      <c r="A56" s="246"/>
      <c r="B56" s="270" t="s">
        <v>23</v>
      </c>
      <c r="C56" s="271"/>
      <c r="D56" s="271"/>
      <c r="E56" s="271"/>
    </row>
    <row r="57" spans="1:7" ht="16.5" customHeight="1" x14ac:dyDescent="0.3">
      <c r="A57" s="246"/>
      <c r="B57" s="270" t="s">
        <v>24</v>
      </c>
      <c r="C57" s="271"/>
      <c r="D57" s="271"/>
      <c r="E57" s="271"/>
    </row>
    <row r="58" spans="1:7" ht="14.25" customHeight="1" thickBot="1" x14ac:dyDescent="0.3">
      <c r="A58" s="272"/>
      <c r="B58" s="273"/>
      <c r="D58" s="274"/>
      <c r="F58" s="275"/>
      <c r="G58" s="275"/>
    </row>
    <row r="59" spans="1:7" ht="15" customHeight="1" x14ac:dyDescent="0.3">
      <c r="B59" s="283" t="s">
        <v>26</v>
      </c>
      <c r="C59" s="283"/>
      <c r="E59" s="276" t="s">
        <v>27</v>
      </c>
      <c r="F59" s="277"/>
      <c r="G59" s="276" t="s">
        <v>28</v>
      </c>
    </row>
    <row r="60" spans="1:7" ht="15" customHeight="1" x14ac:dyDescent="0.3">
      <c r="A60" s="278" t="s">
        <v>29</v>
      </c>
      <c r="B60" s="279" t="s">
        <v>133</v>
      </c>
      <c r="C60" s="279"/>
      <c r="E60" s="279"/>
      <c r="G60" s="279"/>
    </row>
    <row r="61" spans="1:7" ht="15" customHeight="1" x14ac:dyDescent="0.3">
      <c r="A61" s="278" t="s">
        <v>30</v>
      </c>
      <c r="B61" s="280"/>
      <c r="C61" s="280"/>
      <c r="E61" s="280"/>
      <c r="G61" s="28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0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7" t="s">
        <v>31</v>
      </c>
      <c r="B11" s="288"/>
      <c r="C11" s="288"/>
      <c r="D11" s="288"/>
      <c r="E11" s="288"/>
      <c r="F11" s="289"/>
      <c r="G11" s="43"/>
    </row>
    <row r="12" spans="1:7" ht="16.5" customHeight="1" x14ac:dyDescent="0.3">
      <c r="A12" s="286" t="s">
        <v>32</v>
      </c>
      <c r="B12" s="286"/>
      <c r="C12" s="286"/>
      <c r="D12" s="286"/>
      <c r="E12" s="286"/>
      <c r="F12" s="286"/>
      <c r="G12" s="42"/>
    </row>
    <row r="14" spans="1:7" ht="16.5" customHeight="1" x14ac:dyDescent="0.3">
      <c r="A14" s="291" t="s">
        <v>33</v>
      </c>
      <c r="B14" s="291"/>
      <c r="C14" s="12" t="s">
        <v>5</v>
      </c>
    </row>
    <row r="15" spans="1:7" ht="16.5" customHeight="1" x14ac:dyDescent="0.3">
      <c r="A15" s="291" t="s">
        <v>34</v>
      </c>
      <c r="B15" s="291"/>
      <c r="C15" s="12" t="s">
        <v>7</v>
      </c>
    </row>
    <row r="16" spans="1:7" ht="16.5" customHeight="1" x14ac:dyDescent="0.3">
      <c r="A16" s="291" t="s">
        <v>35</v>
      </c>
      <c r="B16" s="291"/>
      <c r="C16" s="12" t="s">
        <v>9</v>
      </c>
    </row>
    <row r="17" spans="1:5" ht="16.5" customHeight="1" x14ac:dyDescent="0.3">
      <c r="A17" s="291" t="s">
        <v>36</v>
      </c>
      <c r="B17" s="291"/>
      <c r="C17" s="12" t="s">
        <v>11</v>
      </c>
    </row>
    <row r="18" spans="1:5" ht="16.5" customHeight="1" x14ac:dyDescent="0.3">
      <c r="A18" s="291" t="s">
        <v>37</v>
      </c>
      <c r="B18" s="291"/>
      <c r="C18" s="49" t="s">
        <v>12</v>
      </c>
    </row>
    <row r="19" spans="1:5" ht="16.5" customHeight="1" x14ac:dyDescent="0.3">
      <c r="A19" s="291" t="s">
        <v>38</v>
      </c>
      <c r="B19" s="291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86" t="s">
        <v>1</v>
      </c>
      <c r="B21" s="286"/>
      <c r="C21" s="11" t="s">
        <v>39</v>
      </c>
      <c r="D21" s="18"/>
    </row>
    <row r="22" spans="1:5" ht="15.75" customHeight="1" x14ac:dyDescent="0.3">
      <c r="A22" s="290"/>
      <c r="B22" s="290"/>
      <c r="C22" s="9"/>
      <c r="D22" s="290"/>
      <c r="E22" s="290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798.7</v>
      </c>
      <c r="D24" s="39">
        <f t="shared" ref="D24:D43" si="0">(C24-$C$46)/$C$46</f>
        <v>-1.1833378801122594E-2</v>
      </c>
      <c r="E24" s="5"/>
    </row>
    <row r="25" spans="1:5" ht="15.75" customHeight="1" x14ac:dyDescent="0.3">
      <c r="C25" s="47">
        <v>804.69</v>
      </c>
      <c r="D25" s="40">
        <f t="shared" si="0"/>
        <v>-4.4224384468202474E-3</v>
      </c>
      <c r="E25" s="5"/>
    </row>
    <row r="26" spans="1:5" ht="15.75" customHeight="1" x14ac:dyDescent="0.3">
      <c r="C26" s="47">
        <v>809.92</v>
      </c>
      <c r="D26" s="40">
        <f t="shared" si="0"/>
        <v>2.0482156521781682E-3</v>
      </c>
      <c r="E26" s="5"/>
    </row>
    <row r="27" spans="1:5" ht="15.75" customHeight="1" x14ac:dyDescent="0.3">
      <c r="C27" s="47">
        <v>798.69</v>
      </c>
      <c r="D27" s="40">
        <f t="shared" si="0"/>
        <v>-1.184575098869237E-2</v>
      </c>
      <c r="E27" s="5"/>
    </row>
    <row r="28" spans="1:5" ht="15.75" customHeight="1" x14ac:dyDescent="0.3">
      <c r="C28" s="47">
        <v>806.58</v>
      </c>
      <c r="D28" s="40">
        <f t="shared" si="0"/>
        <v>-2.0840949961305455E-3</v>
      </c>
      <c r="E28" s="5"/>
    </row>
    <row r="29" spans="1:5" ht="15.75" customHeight="1" x14ac:dyDescent="0.3">
      <c r="C29" s="47">
        <v>808.08</v>
      </c>
      <c r="D29" s="40">
        <f t="shared" si="0"/>
        <v>-2.2826686066251486E-4</v>
      </c>
      <c r="E29" s="5"/>
    </row>
    <row r="30" spans="1:5" ht="15.75" customHeight="1" x14ac:dyDescent="0.3">
      <c r="C30" s="47">
        <v>812.07</v>
      </c>
      <c r="D30" s="40">
        <f t="shared" si="0"/>
        <v>4.7082359796824574E-3</v>
      </c>
      <c r="E30" s="5"/>
    </row>
    <row r="31" spans="1:5" ht="15.75" customHeight="1" x14ac:dyDescent="0.3">
      <c r="C31" s="47">
        <v>810.24</v>
      </c>
      <c r="D31" s="40">
        <f t="shared" si="0"/>
        <v>2.4441256544114097E-3</v>
      </c>
      <c r="E31" s="5"/>
    </row>
    <row r="32" spans="1:5" ht="15.75" customHeight="1" x14ac:dyDescent="0.3">
      <c r="C32" s="47">
        <v>818.12</v>
      </c>
      <c r="D32" s="40">
        <f t="shared" si="0"/>
        <v>1.2193409459403459E-2</v>
      </c>
      <c r="E32" s="5"/>
    </row>
    <row r="33" spans="1:7" ht="15.75" customHeight="1" x14ac:dyDescent="0.3">
      <c r="C33" s="47">
        <v>808.45</v>
      </c>
      <c r="D33" s="40">
        <f t="shared" si="0"/>
        <v>2.2950407941960496E-4</v>
      </c>
      <c r="E33" s="5"/>
    </row>
    <row r="34" spans="1:7" ht="15.75" customHeight="1" x14ac:dyDescent="0.3">
      <c r="C34" s="47">
        <v>804.23</v>
      </c>
      <c r="D34" s="40">
        <f t="shared" si="0"/>
        <v>-4.9915590750304883E-3</v>
      </c>
      <c r="E34" s="5"/>
    </row>
    <row r="35" spans="1:7" ht="15.75" customHeight="1" x14ac:dyDescent="0.3">
      <c r="C35" s="47">
        <v>805.21</v>
      </c>
      <c r="D35" s="40">
        <f t="shared" si="0"/>
        <v>-3.7790846931913522E-3</v>
      </c>
      <c r="E35" s="5"/>
    </row>
    <row r="36" spans="1:7" ht="15.75" customHeight="1" x14ac:dyDescent="0.3">
      <c r="C36" s="47">
        <v>798.57</v>
      </c>
      <c r="D36" s="40">
        <f t="shared" si="0"/>
        <v>-1.1994217239529818E-2</v>
      </c>
      <c r="E36" s="5"/>
    </row>
    <row r="37" spans="1:7" ht="15.75" customHeight="1" x14ac:dyDescent="0.3">
      <c r="C37" s="47">
        <v>814.12</v>
      </c>
      <c r="D37" s="40">
        <f t="shared" si="0"/>
        <v>7.2445344314887097E-3</v>
      </c>
      <c r="E37" s="5"/>
    </row>
    <row r="38" spans="1:7" ht="15.75" customHeight="1" x14ac:dyDescent="0.3">
      <c r="C38" s="47">
        <v>820.07</v>
      </c>
      <c r="D38" s="40">
        <f t="shared" si="0"/>
        <v>1.4605986035511954E-2</v>
      </c>
      <c r="E38" s="5"/>
    </row>
    <row r="39" spans="1:7" ht="15.75" customHeight="1" x14ac:dyDescent="0.3">
      <c r="C39" s="47">
        <v>808.9</v>
      </c>
      <c r="D39" s="40">
        <f t="shared" si="0"/>
        <v>7.8625252005992978E-4</v>
      </c>
      <c r="E39" s="5"/>
    </row>
    <row r="40" spans="1:7" ht="15.75" customHeight="1" x14ac:dyDescent="0.3">
      <c r="C40" s="47">
        <v>801.96</v>
      </c>
      <c r="D40" s="40">
        <f t="shared" si="0"/>
        <v>-7.800045653372085E-3</v>
      </c>
      <c r="E40" s="5"/>
    </row>
    <row r="41" spans="1:7" ht="15.75" customHeight="1" x14ac:dyDescent="0.3">
      <c r="C41" s="47">
        <v>812.73</v>
      </c>
      <c r="D41" s="40">
        <f t="shared" si="0"/>
        <v>5.5248003592883515E-3</v>
      </c>
      <c r="E41" s="5"/>
    </row>
    <row r="42" spans="1:7" ht="15.75" customHeight="1" x14ac:dyDescent="0.3">
      <c r="C42" s="47">
        <v>808.94</v>
      </c>
      <c r="D42" s="40">
        <f t="shared" si="0"/>
        <v>8.357412703391729E-4</v>
      </c>
      <c r="E42" s="5"/>
    </row>
    <row r="43" spans="1:7" ht="16.5" customHeight="1" x14ac:dyDescent="0.3">
      <c r="C43" s="48">
        <v>815.02</v>
      </c>
      <c r="D43" s="41">
        <f t="shared" si="0"/>
        <v>8.3580313127694997E-3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16165.289999999999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808.2645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284">
        <f>C46</f>
        <v>808.2645</v>
      </c>
      <c r="C49" s="45">
        <f>-IF(C46&lt;=80,10%,IF(C46&lt;250,7.5%,5%))</f>
        <v>-0.05</v>
      </c>
      <c r="D49" s="33">
        <f>IF(C46&lt;=80,C46*0.9,IF(C46&lt;250,C46*0.925,C46*0.95))</f>
        <v>767.85127499999999</v>
      </c>
    </row>
    <row r="50" spans="1:6" ht="17.25" customHeight="1" x14ac:dyDescent="0.3">
      <c r="B50" s="285"/>
      <c r="C50" s="46">
        <f>IF(C46&lt;=80, 10%, IF(C46&lt;250, 7.5%, 5%))</f>
        <v>0.05</v>
      </c>
      <c r="D50" s="33">
        <f>IF(C46&lt;=80, C46*1.1, IF(C46&lt;250, C46*1.075, C46*1.05))</f>
        <v>848.67772500000001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zoomScale="50" zoomScaleNormal="40" zoomScalePageLayoutView="50" workbookViewId="0">
      <selection activeCell="A20" sqref="A2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2" t="s">
        <v>45</v>
      </c>
      <c r="B1" s="322"/>
      <c r="C1" s="322"/>
      <c r="D1" s="322"/>
      <c r="E1" s="322"/>
      <c r="F1" s="322"/>
      <c r="G1" s="322"/>
      <c r="H1" s="322"/>
      <c r="I1" s="322"/>
    </row>
    <row r="2" spans="1:9" ht="18.75" customHeight="1" x14ac:dyDescent="0.25">
      <c r="A2" s="322"/>
      <c r="B2" s="322"/>
      <c r="C2" s="322"/>
      <c r="D2" s="322"/>
      <c r="E2" s="322"/>
      <c r="F2" s="322"/>
      <c r="G2" s="322"/>
      <c r="H2" s="322"/>
      <c r="I2" s="322"/>
    </row>
    <row r="3" spans="1:9" ht="18.75" customHeight="1" x14ac:dyDescent="0.25">
      <c r="A3" s="322"/>
      <c r="B3" s="322"/>
      <c r="C3" s="322"/>
      <c r="D3" s="322"/>
      <c r="E3" s="322"/>
      <c r="F3" s="322"/>
      <c r="G3" s="322"/>
      <c r="H3" s="322"/>
      <c r="I3" s="322"/>
    </row>
    <row r="4" spans="1:9" ht="18.75" customHeight="1" x14ac:dyDescent="0.25">
      <c r="A4" s="322"/>
      <c r="B4" s="322"/>
      <c r="C4" s="322"/>
      <c r="D4" s="322"/>
      <c r="E4" s="322"/>
      <c r="F4" s="322"/>
      <c r="G4" s="322"/>
      <c r="H4" s="322"/>
      <c r="I4" s="322"/>
    </row>
    <row r="5" spans="1:9" ht="18.75" customHeight="1" x14ac:dyDescent="0.25">
      <c r="A5" s="322"/>
      <c r="B5" s="322"/>
      <c r="C5" s="322"/>
      <c r="D5" s="322"/>
      <c r="E5" s="322"/>
      <c r="F5" s="322"/>
      <c r="G5" s="322"/>
      <c r="H5" s="322"/>
      <c r="I5" s="322"/>
    </row>
    <row r="6" spans="1:9" ht="18.75" customHeight="1" x14ac:dyDescent="0.25">
      <c r="A6" s="322"/>
      <c r="B6" s="322"/>
      <c r="C6" s="322"/>
      <c r="D6" s="322"/>
      <c r="E6" s="322"/>
      <c r="F6" s="322"/>
      <c r="G6" s="322"/>
      <c r="H6" s="322"/>
      <c r="I6" s="322"/>
    </row>
    <row r="7" spans="1:9" ht="18.75" customHeight="1" x14ac:dyDescent="0.25">
      <c r="A7" s="322"/>
      <c r="B7" s="322"/>
      <c r="C7" s="322"/>
      <c r="D7" s="322"/>
      <c r="E7" s="322"/>
      <c r="F7" s="322"/>
      <c r="G7" s="322"/>
      <c r="H7" s="322"/>
      <c r="I7" s="322"/>
    </row>
    <row r="8" spans="1:9" x14ac:dyDescent="0.25">
      <c r="A8" s="323" t="s">
        <v>46</v>
      </c>
      <c r="B8" s="323"/>
      <c r="C8" s="323"/>
      <c r="D8" s="323"/>
      <c r="E8" s="323"/>
      <c r="F8" s="323"/>
      <c r="G8" s="323"/>
      <c r="H8" s="323"/>
      <c r="I8" s="323"/>
    </row>
    <row r="9" spans="1:9" x14ac:dyDescent="0.25">
      <c r="A9" s="323"/>
      <c r="B9" s="323"/>
      <c r="C9" s="323"/>
      <c r="D9" s="323"/>
      <c r="E9" s="323"/>
      <c r="F9" s="323"/>
      <c r="G9" s="323"/>
      <c r="H9" s="323"/>
      <c r="I9" s="323"/>
    </row>
    <row r="10" spans="1:9" x14ac:dyDescent="0.25">
      <c r="A10" s="323"/>
      <c r="B10" s="323"/>
      <c r="C10" s="323"/>
      <c r="D10" s="323"/>
      <c r="E10" s="323"/>
      <c r="F10" s="323"/>
      <c r="G10" s="323"/>
      <c r="H10" s="323"/>
      <c r="I10" s="323"/>
    </row>
    <row r="11" spans="1:9" x14ac:dyDescent="0.25">
      <c r="A11" s="323"/>
      <c r="B11" s="323"/>
      <c r="C11" s="323"/>
      <c r="D11" s="323"/>
      <c r="E11" s="323"/>
      <c r="F11" s="323"/>
      <c r="G11" s="323"/>
      <c r="H11" s="323"/>
      <c r="I11" s="323"/>
    </row>
    <row r="12" spans="1:9" x14ac:dyDescent="0.25">
      <c r="A12" s="323"/>
      <c r="B12" s="323"/>
      <c r="C12" s="323"/>
      <c r="D12" s="323"/>
      <c r="E12" s="323"/>
      <c r="F12" s="323"/>
      <c r="G12" s="323"/>
      <c r="H12" s="323"/>
      <c r="I12" s="323"/>
    </row>
    <row r="13" spans="1:9" x14ac:dyDescent="0.25">
      <c r="A13" s="323"/>
      <c r="B13" s="323"/>
      <c r="C13" s="323"/>
      <c r="D13" s="323"/>
      <c r="E13" s="323"/>
      <c r="F13" s="323"/>
      <c r="G13" s="323"/>
      <c r="H13" s="323"/>
      <c r="I13" s="323"/>
    </row>
    <row r="14" spans="1:9" x14ac:dyDescent="0.25">
      <c r="A14" s="323"/>
      <c r="B14" s="323"/>
      <c r="C14" s="323"/>
      <c r="D14" s="323"/>
      <c r="E14" s="323"/>
      <c r="F14" s="323"/>
      <c r="G14" s="323"/>
      <c r="H14" s="323"/>
      <c r="I14" s="323"/>
    </row>
    <row r="15" spans="1:9" ht="19.5" customHeight="1" x14ac:dyDescent="0.3">
      <c r="A15" s="50"/>
    </row>
    <row r="16" spans="1:9" ht="19.5" customHeight="1" x14ac:dyDescent="0.3">
      <c r="A16" s="295" t="s">
        <v>31</v>
      </c>
      <c r="B16" s="296"/>
      <c r="C16" s="296"/>
      <c r="D16" s="296"/>
      <c r="E16" s="296"/>
      <c r="F16" s="296"/>
      <c r="G16" s="296"/>
      <c r="H16" s="297"/>
    </row>
    <row r="17" spans="1:14" ht="20.25" customHeight="1" x14ac:dyDescent="0.25">
      <c r="A17" s="298" t="s">
        <v>47</v>
      </c>
      <c r="B17" s="298"/>
      <c r="C17" s="298"/>
      <c r="D17" s="298"/>
      <c r="E17" s="298"/>
      <c r="F17" s="298"/>
      <c r="G17" s="298"/>
      <c r="H17" s="298"/>
    </row>
    <row r="18" spans="1:14" ht="26.25" customHeight="1" x14ac:dyDescent="0.4">
      <c r="A18" s="52" t="s">
        <v>33</v>
      </c>
      <c r="B18" s="294" t="s">
        <v>5</v>
      </c>
      <c r="C18" s="294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294" t="s">
        <v>9</v>
      </c>
      <c r="C20" s="294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299" t="s">
        <v>11</v>
      </c>
      <c r="C21" s="299"/>
      <c r="D21" s="299"/>
      <c r="E21" s="299"/>
      <c r="F21" s="299"/>
      <c r="G21" s="299"/>
      <c r="H21" s="299"/>
      <c r="I21" s="56"/>
    </row>
    <row r="22" spans="1:14" ht="26.25" customHeight="1" x14ac:dyDescent="0.4">
      <c r="A22" s="52" t="s">
        <v>37</v>
      </c>
      <c r="B22" s="57">
        <v>43080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43084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294" t="s">
        <v>9</v>
      </c>
      <c r="C26" s="294"/>
    </row>
    <row r="27" spans="1:14" ht="26.25" customHeight="1" x14ac:dyDescent="0.4">
      <c r="A27" s="61" t="s">
        <v>48</v>
      </c>
      <c r="B27" s="300" t="s">
        <v>131</v>
      </c>
      <c r="C27" s="300"/>
    </row>
    <row r="28" spans="1:14" ht="27" customHeight="1" x14ac:dyDescent="0.4">
      <c r="A28" s="61" t="s">
        <v>6</v>
      </c>
      <c r="B28" s="62">
        <v>99.4</v>
      </c>
    </row>
    <row r="29" spans="1:14" s="3" customFormat="1" ht="27" customHeight="1" x14ac:dyDescent="0.4">
      <c r="A29" s="61" t="s">
        <v>49</v>
      </c>
      <c r="B29" s="63">
        <v>0</v>
      </c>
      <c r="C29" s="301" t="s">
        <v>89</v>
      </c>
      <c r="D29" s="302"/>
      <c r="E29" s="302"/>
      <c r="F29" s="302"/>
      <c r="G29" s="303"/>
      <c r="I29" s="64"/>
      <c r="J29" s="64"/>
      <c r="K29" s="64"/>
      <c r="L29" s="64"/>
    </row>
    <row r="30" spans="1:14" s="3" customFormat="1" ht="19.5" customHeight="1" x14ac:dyDescent="0.3">
      <c r="A30" s="61" t="s">
        <v>50</v>
      </c>
      <c r="B30" s="65">
        <f>B28-B29</f>
        <v>99.4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51</v>
      </c>
      <c r="B31" s="68">
        <v>1</v>
      </c>
      <c r="C31" s="304" t="s">
        <v>52</v>
      </c>
      <c r="D31" s="305"/>
      <c r="E31" s="305"/>
      <c r="F31" s="305"/>
      <c r="G31" s="305"/>
      <c r="H31" s="306"/>
      <c r="I31" s="64"/>
      <c r="J31" s="64"/>
      <c r="K31" s="64"/>
      <c r="L31" s="64"/>
    </row>
    <row r="32" spans="1:14" s="3" customFormat="1" ht="27" customHeight="1" x14ac:dyDescent="0.4">
      <c r="A32" s="61" t="s">
        <v>53</v>
      </c>
      <c r="B32" s="68">
        <v>1</v>
      </c>
      <c r="C32" s="304" t="s">
        <v>54</v>
      </c>
      <c r="D32" s="305"/>
      <c r="E32" s="305"/>
      <c r="F32" s="305"/>
      <c r="G32" s="305"/>
      <c r="H32" s="306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55</v>
      </c>
      <c r="B34" s="73">
        <f>B31/B32</f>
        <v>1</v>
      </c>
      <c r="C34" s="51" t="s">
        <v>56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104</v>
      </c>
      <c r="B36" s="75">
        <v>20</v>
      </c>
      <c r="C36" s="51"/>
      <c r="D36" s="307" t="s">
        <v>57</v>
      </c>
      <c r="E36" s="308"/>
      <c r="F36" s="307" t="s">
        <v>58</v>
      </c>
      <c r="G36" s="309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59</v>
      </c>
      <c r="B37" s="77">
        <v>1</v>
      </c>
      <c r="C37" s="78" t="s">
        <v>60</v>
      </c>
      <c r="D37" s="79" t="s">
        <v>61</v>
      </c>
      <c r="E37" s="80" t="s">
        <v>62</v>
      </c>
      <c r="F37" s="79" t="s">
        <v>61</v>
      </c>
      <c r="G37" s="81" t="s">
        <v>62</v>
      </c>
      <c r="I37" s="82" t="s">
        <v>105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63</v>
      </c>
      <c r="B38" s="77">
        <v>1</v>
      </c>
      <c r="C38" s="83">
        <v>1</v>
      </c>
      <c r="D38" s="84">
        <v>68954437</v>
      </c>
      <c r="E38" s="85">
        <f>IF(ISBLANK(D38),"-",$D$48/$D$45*D38)</f>
        <v>59648031.78486222</v>
      </c>
      <c r="F38" s="84">
        <v>62890730</v>
      </c>
      <c r="G38" s="86">
        <f>IF(ISBLANK(F38),"-",$D$48/$F$45*F38)</f>
        <v>59915106.167306855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64</v>
      </c>
      <c r="B39" s="77">
        <v>1</v>
      </c>
      <c r="C39" s="88">
        <v>2</v>
      </c>
      <c r="D39" s="89">
        <v>68848783</v>
      </c>
      <c r="E39" s="90">
        <f>IF(ISBLANK(D39),"-",$D$48/$D$45*D39)</f>
        <v>59556637.330431424</v>
      </c>
      <c r="F39" s="89">
        <v>62667611</v>
      </c>
      <c r="G39" s="91">
        <f>IF(ISBLANK(F39),"-",$D$48/$F$45*F39)</f>
        <v>59702543.861654766</v>
      </c>
      <c r="I39" s="311">
        <f>ABS((F43/D43*D42)-F42)/D42</f>
        <v>2.807794664542763E-3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65</v>
      </c>
      <c r="B40" s="77">
        <v>1</v>
      </c>
      <c r="C40" s="88">
        <v>3</v>
      </c>
      <c r="D40" s="89">
        <v>69171314</v>
      </c>
      <c r="E40" s="90">
        <f>IF(ISBLANK(D40),"-",$D$48/$D$45*D40)</f>
        <v>59835638.076091975</v>
      </c>
      <c r="F40" s="89">
        <v>62954966</v>
      </c>
      <c r="G40" s="91">
        <f>IF(ISBLANK(F40),"-",$D$48/$F$45*F40)</f>
        <v>59976302.893116258</v>
      </c>
      <c r="I40" s="311"/>
      <c r="L40" s="69"/>
      <c r="M40" s="69"/>
      <c r="N40" s="92"/>
    </row>
    <row r="41" spans="1:14" ht="27" customHeight="1" x14ac:dyDescent="0.4">
      <c r="A41" s="76" t="s">
        <v>66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67</v>
      </c>
      <c r="B42" s="77">
        <v>1</v>
      </c>
      <c r="C42" s="98" t="s">
        <v>68</v>
      </c>
      <c r="D42" s="99">
        <f>AVERAGE(D38:D41)</f>
        <v>68991511.333333328</v>
      </c>
      <c r="E42" s="100">
        <f>AVERAGE(E38:E41)</f>
        <v>59680102.397128545</v>
      </c>
      <c r="F42" s="99">
        <f>AVERAGE(F38:F41)</f>
        <v>62837769</v>
      </c>
      <c r="G42" s="101">
        <f>AVERAGE(G38:G41)</f>
        <v>59864650.974025965</v>
      </c>
      <c r="H42" s="102"/>
    </row>
    <row r="43" spans="1:14" ht="26.25" customHeight="1" x14ac:dyDescent="0.4">
      <c r="A43" s="76" t="s">
        <v>69</v>
      </c>
      <c r="B43" s="77">
        <v>1</v>
      </c>
      <c r="C43" s="103" t="s">
        <v>106</v>
      </c>
      <c r="D43" s="104">
        <v>11.63</v>
      </c>
      <c r="E43" s="92"/>
      <c r="F43" s="104">
        <v>10.56</v>
      </c>
      <c r="H43" s="102"/>
    </row>
    <row r="44" spans="1:14" ht="26.25" customHeight="1" x14ac:dyDescent="0.4">
      <c r="A44" s="76" t="s">
        <v>71</v>
      </c>
      <c r="B44" s="77">
        <v>1</v>
      </c>
      <c r="C44" s="105" t="s">
        <v>107</v>
      </c>
      <c r="D44" s="106">
        <f>D43*$B$34</f>
        <v>11.63</v>
      </c>
      <c r="E44" s="107"/>
      <c r="F44" s="106">
        <f>F43*$B$34</f>
        <v>10.56</v>
      </c>
      <c r="H44" s="102"/>
    </row>
    <row r="45" spans="1:14" ht="19.5" customHeight="1" x14ac:dyDescent="0.3">
      <c r="A45" s="76" t="s">
        <v>73</v>
      </c>
      <c r="B45" s="108">
        <f>(B44/B43)*(B42/B41)*(B40/B39)*(B38/B37)*B36</f>
        <v>20</v>
      </c>
      <c r="C45" s="105" t="s">
        <v>74</v>
      </c>
      <c r="D45" s="109">
        <f>D44*$B$30/100</f>
        <v>11.560220000000001</v>
      </c>
      <c r="E45" s="110"/>
      <c r="F45" s="109">
        <f>F44*$B$30/100</f>
        <v>10.496640000000003</v>
      </c>
      <c r="H45" s="102"/>
    </row>
    <row r="46" spans="1:14" ht="19.5" customHeight="1" x14ac:dyDescent="0.3">
      <c r="A46" s="312" t="s">
        <v>75</v>
      </c>
      <c r="B46" s="313"/>
      <c r="C46" s="105" t="s">
        <v>76</v>
      </c>
      <c r="D46" s="111">
        <f>D45/$B$45</f>
        <v>0.57801100000000005</v>
      </c>
      <c r="E46" s="112"/>
      <c r="F46" s="113">
        <f>F45/$B$45</f>
        <v>0.52483200000000019</v>
      </c>
      <c r="H46" s="102"/>
    </row>
    <row r="47" spans="1:14" ht="27" customHeight="1" x14ac:dyDescent="0.4">
      <c r="A47" s="314"/>
      <c r="B47" s="315"/>
      <c r="C47" s="114" t="s">
        <v>108</v>
      </c>
      <c r="D47" s="115">
        <v>0.5</v>
      </c>
      <c r="E47" s="116"/>
      <c r="F47" s="112"/>
      <c r="H47" s="102"/>
    </row>
    <row r="48" spans="1:14" ht="18.75" x14ac:dyDescent="0.3">
      <c r="C48" s="117" t="s">
        <v>77</v>
      </c>
      <c r="D48" s="109">
        <f>D47*$B$45</f>
        <v>10</v>
      </c>
      <c r="F48" s="118"/>
      <c r="H48" s="102"/>
    </row>
    <row r="49" spans="1:12" ht="19.5" customHeight="1" x14ac:dyDescent="0.3">
      <c r="C49" s="119" t="s">
        <v>78</v>
      </c>
      <c r="D49" s="120">
        <f>D48/B34</f>
        <v>10</v>
      </c>
      <c r="F49" s="118"/>
      <c r="H49" s="102"/>
    </row>
    <row r="50" spans="1:12" ht="18.75" x14ac:dyDescent="0.3">
      <c r="C50" s="74" t="s">
        <v>79</v>
      </c>
      <c r="D50" s="121">
        <f>AVERAGE(E38:E41,G38:G41)</f>
        <v>59772376.685577244</v>
      </c>
      <c r="F50" s="122"/>
      <c r="H50" s="102"/>
    </row>
    <row r="51" spans="1:12" ht="18.75" x14ac:dyDescent="0.3">
      <c r="C51" s="76" t="s">
        <v>80</v>
      </c>
      <c r="D51" s="123">
        <f>STDEV(E38:E41,G38:G41)/D50</f>
        <v>2.7269747660205955E-3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81</v>
      </c>
    </row>
    <row r="55" spans="1:12" ht="18.75" x14ac:dyDescent="0.3">
      <c r="A55" s="51" t="s">
        <v>82</v>
      </c>
      <c r="B55" s="128" t="str">
        <f>B21</f>
        <v>Each film-coated tablet contains  Ritonavir 100 mg.</v>
      </c>
    </row>
    <row r="56" spans="1:12" ht="26.25" customHeight="1" x14ac:dyDescent="0.4">
      <c r="A56" s="129" t="s">
        <v>83</v>
      </c>
      <c r="B56" s="130">
        <v>100</v>
      </c>
      <c r="C56" s="51" t="str">
        <f>B20</f>
        <v>Ritonavir</v>
      </c>
      <c r="H56" s="131"/>
    </row>
    <row r="57" spans="1:12" ht="18.75" x14ac:dyDescent="0.3">
      <c r="A57" s="128" t="s">
        <v>84</v>
      </c>
      <c r="B57" s="199">
        <f>Uniformity!C46</f>
        <v>808.2645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109</v>
      </c>
      <c r="B59" s="75">
        <v>100</v>
      </c>
      <c r="C59" s="51"/>
      <c r="D59" s="132" t="s">
        <v>110</v>
      </c>
      <c r="E59" s="133" t="s">
        <v>60</v>
      </c>
      <c r="F59" s="133" t="s">
        <v>61</v>
      </c>
      <c r="G59" s="133" t="s">
        <v>111</v>
      </c>
      <c r="H59" s="78" t="s">
        <v>112</v>
      </c>
      <c r="L59" s="64"/>
    </row>
    <row r="60" spans="1:12" s="3" customFormat="1" ht="26.25" customHeight="1" x14ac:dyDescent="0.4">
      <c r="A60" s="76" t="s">
        <v>113</v>
      </c>
      <c r="B60" s="77">
        <v>10</v>
      </c>
      <c r="C60" s="316" t="s">
        <v>114</v>
      </c>
      <c r="D60" s="319">
        <v>809.72</v>
      </c>
      <c r="E60" s="134">
        <v>1</v>
      </c>
      <c r="F60" s="135">
        <v>59395895</v>
      </c>
      <c r="G60" s="200">
        <f>IF(ISBLANK(F60),"-",(F60/$D$50*$D$47*$B$68)*($B$57/$D$60))</f>
        <v>99.191519712710601</v>
      </c>
      <c r="H60" s="218">
        <f t="shared" ref="H60:H71" si="0">IF(ISBLANK(F60),"-",(G60/$B$56)*100)</f>
        <v>99.191519712710601</v>
      </c>
      <c r="L60" s="64"/>
    </row>
    <row r="61" spans="1:12" s="3" customFormat="1" ht="26.25" customHeight="1" x14ac:dyDescent="0.4">
      <c r="A61" s="76" t="s">
        <v>94</v>
      </c>
      <c r="B61" s="77">
        <v>20</v>
      </c>
      <c r="C61" s="317"/>
      <c r="D61" s="320"/>
      <c r="E61" s="136">
        <v>2</v>
      </c>
      <c r="F61" s="89">
        <v>59231073</v>
      </c>
      <c r="G61" s="201">
        <f>IF(ISBLANK(F61),"-",(F61/$D$50*$D$47*$B$68)*($B$57/$D$60))</f>
        <v>98.916265931921728</v>
      </c>
      <c r="H61" s="219">
        <f t="shared" si="0"/>
        <v>98.916265931921728</v>
      </c>
      <c r="L61" s="64"/>
    </row>
    <row r="62" spans="1:12" s="3" customFormat="1" ht="26.25" customHeight="1" x14ac:dyDescent="0.4">
      <c r="A62" s="76" t="s">
        <v>95</v>
      </c>
      <c r="B62" s="77">
        <v>1</v>
      </c>
      <c r="C62" s="317"/>
      <c r="D62" s="320"/>
      <c r="E62" s="136">
        <v>3</v>
      </c>
      <c r="F62" s="137">
        <v>59312222</v>
      </c>
      <c r="G62" s="201">
        <f>IF(ISBLANK(F62),"-",(F62/$D$50*$D$47*$B$68)*($B$57/$D$60))</f>
        <v>99.051785274347111</v>
      </c>
      <c r="H62" s="219">
        <f t="shared" si="0"/>
        <v>99.051785274347111</v>
      </c>
      <c r="L62" s="64"/>
    </row>
    <row r="63" spans="1:12" ht="27" customHeight="1" x14ac:dyDescent="0.4">
      <c r="A63" s="76" t="s">
        <v>96</v>
      </c>
      <c r="B63" s="77">
        <v>1</v>
      </c>
      <c r="C63" s="318"/>
      <c r="D63" s="321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97</v>
      </c>
      <c r="B64" s="77">
        <v>1</v>
      </c>
      <c r="C64" s="316" t="s">
        <v>115</v>
      </c>
      <c r="D64" s="319">
        <v>821.38</v>
      </c>
      <c r="E64" s="134">
        <v>1</v>
      </c>
      <c r="F64" s="135">
        <v>60016042</v>
      </c>
      <c r="G64" s="200">
        <f>IF(ISBLANK(F64),"-",(F64/$D$50*$D$47*$B$68)*($B$57/$D$64))</f>
        <v>98.804382111566042</v>
      </c>
      <c r="H64" s="218">
        <f t="shared" si="0"/>
        <v>98.804382111566042</v>
      </c>
    </row>
    <row r="65" spans="1:8" ht="26.25" customHeight="1" x14ac:dyDescent="0.4">
      <c r="A65" s="76" t="s">
        <v>98</v>
      </c>
      <c r="B65" s="77">
        <v>1</v>
      </c>
      <c r="C65" s="317"/>
      <c r="D65" s="320"/>
      <c r="E65" s="136">
        <v>2</v>
      </c>
      <c r="F65" s="89">
        <v>60078291</v>
      </c>
      <c r="G65" s="201">
        <f>IF(ISBLANK(F65),"-",(F65/$D$50*$D$47*$B$68)*($B$57/$D$64))</f>
        <v>98.906862611397457</v>
      </c>
      <c r="H65" s="219">
        <f t="shared" si="0"/>
        <v>98.906862611397457</v>
      </c>
    </row>
    <row r="66" spans="1:8" ht="26.25" customHeight="1" x14ac:dyDescent="0.4">
      <c r="A66" s="76" t="s">
        <v>99</v>
      </c>
      <c r="B66" s="77">
        <v>1</v>
      </c>
      <c r="C66" s="317"/>
      <c r="D66" s="320"/>
      <c r="E66" s="136">
        <v>3</v>
      </c>
      <c r="F66" s="89">
        <v>60135564</v>
      </c>
      <c r="G66" s="201">
        <f>IF(ISBLANK(F66),"-",(F66/$D$50*$D$47*$B$68)*($B$57/$D$64))</f>
        <v>99.001151124736552</v>
      </c>
      <c r="H66" s="219">
        <f t="shared" si="0"/>
        <v>99.001151124736552</v>
      </c>
    </row>
    <row r="67" spans="1:8" ht="27" customHeight="1" x14ac:dyDescent="0.4">
      <c r="A67" s="76" t="s">
        <v>100</v>
      </c>
      <c r="B67" s="77">
        <v>1</v>
      </c>
      <c r="C67" s="318"/>
      <c r="D67" s="321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101</v>
      </c>
      <c r="B68" s="140">
        <f>(B67/B66)*(B65/B64)*(B63/B62)*(B61/B60)*B59</f>
        <v>200</v>
      </c>
      <c r="C68" s="316" t="s">
        <v>116</v>
      </c>
      <c r="D68" s="319">
        <v>818.77300000000002</v>
      </c>
      <c r="E68" s="134">
        <v>1</v>
      </c>
      <c r="F68" s="135">
        <v>59531567</v>
      </c>
      <c r="G68" s="200">
        <f>IF(ISBLANK(F68),"-",(F68/$D$50*$D$47*$B$68)*($B$57/$D$68))</f>
        <v>98.318847970866415</v>
      </c>
      <c r="H68" s="219">
        <f t="shared" si="0"/>
        <v>98.318847970866415</v>
      </c>
    </row>
    <row r="69" spans="1:8" ht="27" customHeight="1" x14ac:dyDescent="0.4">
      <c r="A69" s="124" t="s">
        <v>117</v>
      </c>
      <c r="B69" s="141">
        <f>(D47*B68)/B56*B57</f>
        <v>808.2645</v>
      </c>
      <c r="C69" s="317"/>
      <c r="D69" s="320"/>
      <c r="E69" s="136">
        <v>2</v>
      </c>
      <c r="F69" s="89">
        <v>59595280</v>
      </c>
      <c r="G69" s="201">
        <f>IF(ISBLANK(F69),"-",(F69/$D$50*$D$47*$B$68)*($B$57/$D$68))</f>
        <v>98.42407262858066</v>
      </c>
      <c r="H69" s="219">
        <f t="shared" si="0"/>
        <v>98.42407262858066</v>
      </c>
    </row>
    <row r="70" spans="1:8" ht="26.25" customHeight="1" x14ac:dyDescent="0.4">
      <c r="A70" s="329" t="s">
        <v>75</v>
      </c>
      <c r="B70" s="330"/>
      <c r="C70" s="317"/>
      <c r="D70" s="320"/>
      <c r="E70" s="136">
        <v>3</v>
      </c>
      <c r="F70" s="89">
        <v>59796807</v>
      </c>
      <c r="G70" s="201">
        <f>IF(ISBLANK(F70),"-",(F70/$D$50*$D$47*$B$68)*($B$57/$D$68))</f>
        <v>98.75690281386747</v>
      </c>
      <c r="H70" s="219">
        <f t="shared" si="0"/>
        <v>98.75690281386747</v>
      </c>
    </row>
    <row r="71" spans="1:8" ht="27" customHeight="1" x14ac:dyDescent="0.4">
      <c r="A71" s="331"/>
      <c r="B71" s="332"/>
      <c r="C71" s="328"/>
      <c r="D71" s="321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68</v>
      </c>
      <c r="G72" s="206">
        <f>AVERAGE(G60:G71)</f>
        <v>98.819087797777101</v>
      </c>
      <c r="H72" s="221">
        <f>AVERAGE(H60:H71)</f>
        <v>98.819087797777101</v>
      </c>
    </row>
    <row r="73" spans="1:8" ht="26.25" customHeight="1" x14ac:dyDescent="0.4">
      <c r="C73" s="142"/>
      <c r="D73" s="142"/>
      <c r="E73" s="142"/>
      <c r="F73" s="145" t="s">
        <v>80</v>
      </c>
      <c r="G73" s="205">
        <f>STDEV(G60:G71)/G72</f>
        <v>2.8922770292054223E-3</v>
      </c>
      <c r="H73" s="205">
        <f>STDEV(H60:H71)/H72</f>
        <v>2.8922770292054223E-3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118</v>
      </c>
      <c r="B76" s="149" t="s">
        <v>85</v>
      </c>
      <c r="C76" s="324" t="str">
        <f>B26</f>
        <v>Ritonavir</v>
      </c>
      <c r="D76" s="324"/>
      <c r="E76" s="150" t="s">
        <v>86</v>
      </c>
      <c r="F76" s="150"/>
      <c r="G76" s="237">
        <f>H72</f>
        <v>98.819087797777101</v>
      </c>
      <c r="H76" s="152"/>
    </row>
    <row r="77" spans="1:8" ht="18.75" x14ac:dyDescent="0.3">
      <c r="A77" s="59" t="s">
        <v>87</v>
      </c>
      <c r="B77" s="59" t="s">
        <v>88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310" t="str">
        <f>B26</f>
        <v>Ritonavir</v>
      </c>
      <c r="C79" s="310"/>
    </row>
    <row r="80" spans="1:8" ht="26.25" customHeight="1" x14ac:dyDescent="0.4">
      <c r="A80" s="61" t="s">
        <v>48</v>
      </c>
      <c r="B80" s="310" t="str">
        <f>B27</f>
        <v>R6-1</v>
      </c>
      <c r="C80" s="310"/>
    </row>
    <row r="81" spans="1:12" ht="27" customHeight="1" x14ac:dyDescent="0.4">
      <c r="A81" s="61" t="s">
        <v>6</v>
      </c>
      <c r="B81" s="153">
        <f>B28</f>
        <v>99.4</v>
      </c>
    </row>
    <row r="82" spans="1:12" s="3" customFormat="1" ht="27" customHeight="1" x14ac:dyDescent="0.4">
      <c r="A82" s="61" t="s">
        <v>49</v>
      </c>
      <c r="B82" s="63">
        <v>0</v>
      </c>
      <c r="C82" s="301" t="s">
        <v>89</v>
      </c>
      <c r="D82" s="302"/>
      <c r="E82" s="302"/>
      <c r="F82" s="302"/>
      <c r="G82" s="303"/>
      <c r="I82" s="64"/>
      <c r="J82" s="64"/>
      <c r="K82" s="64"/>
      <c r="L82" s="64"/>
    </row>
    <row r="83" spans="1:12" s="3" customFormat="1" ht="19.5" customHeight="1" x14ac:dyDescent="0.3">
      <c r="A83" s="61" t="s">
        <v>50</v>
      </c>
      <c r="B83" s="65">
        <f>B81-B82</f>
        <v>99.4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51</v>
      </c>
      <c r="B84" s="68">
        <v>1</v>
      </c>
      <c r="C84" s="304" t="s">
        <v>119</v>
      </c>
      <c r="D84" s="305"/>
      <c r="E84" s="305"/>
      <c r="F84" s="305"/>
      <c r="G84" s="305"/>
      <c r="H84" s="306"/>
      <c r="I84" s="64"/>
      <c r="J84" s="64"/>
      <c r="K84" s="64"/>
      <c r="L84" s="64"/>
    </row>
    <row r="85" spans="1:12" s="3" customFormat="1" ht="27" customHeight="1" x14ac:dyDescent="0.4">
      <c r="A85" s="61" t="s">
        <v>53</v>
      </c>
      <c r="B85" s="68">
        <v>1</v>
      </c>
      <c r="C85" s="304" t="s">
        <v>120</v>
      </c>
      <c r="D85" s="305"/>
      <c r="E85" s="305"/>
      <c r="F85" s="305"/>
      <c r="G85" s="305"/>
      <c r="H85" s="306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55</v>
      </c>
      <c r="B87" s="73">
        <f>B84/B85</f>
        <v>1</v>
      </c>
      <c r="C87" s="51" t="s">
        <v>56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104</v>
      </c>
      <c r="B89" s="75">
        <v>20</v>
      </c>
      <c r="D89" s="154" t="s">
        <v>57</v>
      </c>
      <c r="E89" s="155"/>
      <c r="F89" s="307" t="s">
        <v>58</v>
      </c>
      <c r="G89" s="309"/>
    </row>
    <row r="90" spans="1:12" ht="27" customHeight="1" x14ac:dyDescent="0.4">
      <c r="A90" s="76" t="s">
        <v>59</v>
      </c>
      <c r="B90" s="77">
        <v>2</v>
      </c>
      <c r="C90" s="156" t="s">
        <v>60</v>
      </c>
      <c r="D90" s="79" t="s">
        <v>61</v>
      </c>
      <c r="E90" s="80" t="s">
        <v>62</v>
      </c>
      <c r="F90" s="79" t="s">
        <v>61</v>
      </c>
      <c r="G90" s="157" t="s">
        <v>62</v>
      </c>
      <c r="I90" s="82" t="s">
        <v>105</v>
      </c>
    </row>
    <row r="91" spans="1:12" ht="26.25" customHeight="1" x14ac:dyDescent="0.4">
      <c r="A91" s="76" t="s">
        <v>63</v>
      </c>
      <c r="B91" s="77">
        <v>10</v>
      </c>
      <c r="C91" s="158">
        <v>1</v>
      </c>
      <c r="D91" s="84">
        <v>13916010</v>
      </c>
      <c r="E91" s="85">
        <f>IF(ISBLANK(D91),"-",$D$101/$D$98*D91)</f>
        <v>13375379.822644666</v>
      </c>
      <c r="F91" s="84">
        <v>12966139</v>
      </c>
      <c r="G91" s="86">
        <f>IF(ISBLANK(F91),"-",$D$101/$F$98*F91)</f>
        <v>13725174.066283217</v>
      </c>
      <c r="I91" s="87"/>
    </row>
    <row r="92" spans="1:12" ht="26.25" customHeight="1" x14ac:dyDescent="0.4">
      <c r="A92" s="76" t="s">
        <v>64</v>
      </c>
      <c r="B92" s="77">
        <v>1</v>
      </c>
      <c r="C92" s="143">
        <v>2</v>
      </c>
      <c r="D92" s="89">
        <v>13908486</v>
      </c>
      <c r="E92" s="90">
        <f>IF(ISBLANK(D92),"-",$D$101/$D$98*D92)</f>
        <v>13368148.126362069</v>
      </c>
      <c r="F92" s="89">
        <v>12921943</v>
      </c>
      <c r="G92" s="91">
        <f>IF(ISBLANK(F92),"-",$D$101/$F$98*F92)</f>
        <v>13678390.84168309</v>
      </c>
      <c r="I92" s="311">
        <f>ABS((F96/D96*D95)-F95)/D95</f>
        <v>2.255724955082973E-2</v>
      </c>
    </row>
    <row r="93" spans="1:12" ht="26.25" customHeight="1" x14ac:dyDescent="0.4">
      <c r="A93" s="76" t="s">
        <v>65</v>
      </c>
      <c r="B93" s="77">
        <v>1</v>
      </c>
      <c r="C93" s="143">
        <v>3</v>
      </c>
      <c r="D93" s="89">
        <v>13872752</v>
      </c>
      <c r="E93" s="90">
        <f>IF(ISBLANK(D93),"-",$D$101/$D$98*D93)</f>
        <v>13333802.374772182</v>
      </c>
      <c r="F93" s="89">
        <v>12913451</v>
      </c>
      <c r="G93" s="91">
        <f>IF(ISBLANK(F93),"-",$D$101/$F$98*F93)</f>
        <v>13669401.721778477</v>
      </c>
      <c r="I93" s="311"/>
    </row>
    <row r="94" spans="1:12" ht="27" customHeight="1" x14ac:dyDescent="0.4">
      <c r="A94" s="76" t="s">
        <v>66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67</v>
      </c>
      <c r="B95" s="77">
        <v>1</v>
      </c>
      <c r="C95" s="161" t="s">
        <v>68</v>
      </c>
      <c r="D95" s="162">
        <f>AVERAGE(D91:D94)</f>
        <v>13899082.666666666</v>
      </c>
      <c r="E95" s="100">
        <f>AVERAGE(E91:E94)</f>
        <v>13359110.107926307</v>
      </c>
      <c r="F95" s="163">
        <f>AVERAGE(F91:F94)</f>
        <v>12933844.333333334</v>
      </c>
      <c r="G95" s="164">
        <f>AVERAGE(G91:G94)</f>
        <v>13690988.876581594</v>
      </c>
    </row>
    <row r="96" spans="1:12" ht="26.25" customHeight="1" x14ac:dyDescent="0.4">
      <c r="A96" s="76" t="s">
        <v>69</v>
      </c>
      <c r="B96" s="62">
        <v>1</v>
      </c>
      <c r="C96" s="165" t="s">
        <v>70</v>
      </c>
      <c r="D96" s="166">
        <v>11.63</v>
      </c>
      <c r="E96" s="92"/>
      <c r="F96" s="104">
        <v>10.56</v>
      </c>
    </row>
    <row r="97" spans="1:10" ht="26.25" customHeight="1" x14ac:dyDescent="0.4">
      <c r="A97" s="76" t="s">
        <v>71</v>
      </c>
      <c r="B97" s="62">
        <v>1</v>
      </c>
      <c r="C97" s="167" t="s">
        <v>72</v>
      </c>
      <c r="D97" s="168">
        <f>D96*$B$87</f>
        <v>11.63</v>
      </c>
      <c r="E97" s="107"/>
      <c r="F97" s="106">
        <f>F96*$B$87</f>
        <v>10.56</v>
      </c>
    </row>
    <row r="98" spans="1:10" ht="19.5" customHeight="1" x14ac:dyDescent="0.3">
      <c r="A98" s="76" t="s">
        <v>73</v>
      </c>
      <c r="B98" s="169">
        <f>(B97/B96)*(B95/B94)*(B93/B92)*(B91/B90)*B89</f>
        <v>100</v>
      </c>
      <c r="C98" s="167" t="s">
        <v>121</v>
      </c>
      <c r="D98" s="170">
        <f>D97*$B$83/100</f>
        <v>11.560220000000001</v>
      </c>
      <c r="E98" s="110"/>
      <c r="F98" s="109">
        <f>F97*$B$83/100</f>
        <v>10.496640000000003</v>
      </c>
    </row>
    <row r="99" spans="1:10" ht="19.5" customHeight="1" x14ac:dyDescent="0.3">
      <c r="A99" s="312" t="s">
        <v>75</v>
      </c>
      <c r="B99" s="326"/>
      <c r="C99" s="167" t="s">
        <v>122</v>
      </c>
      <c r="D99" s="171">
        <f>D98/$B$98</f>
        <v>0.11560220000000002</v>
      </c>
      <c r="E99" s="110"/>
      <c r="F99" s="113">
        <f>F98/$B$98</f>
        <v>0.10496640000000003</v>
      </c>
      <c r="G99" s="172"/>
      <c r="H99" s="102"/>
    </row>
    <row r="100" spans="1:10" ht="19.5" customHeight="1" x14ac:dyDescent="0.3">
      <c r="A100" s="314"/>
      <c r="B100" s="327"/>
      <c r="C100" s="167" t="s">
        <v>108</v>
      </c>
      <c r="D100" s="173">
        <f>$B$56/$B$116</f>
        <v>0.1111111111111111</v>
      </c>
      <c r="F100" s="118"/>
      <c r="G100" s="174"/>
      <c r="H100" s="102"/>
    </row>
    <row r="101" spans="1:10" ht="18.75" x14ac:dyDescent="0.3">
      <c r="C101" s="167" t="s">
        <v>77</v>
      </c>
      <c r="D101" s="168">
        <f>D100*$B$98</f>
        <v>11.111111111111111</v>
      </c>
      <c r="F101" s="118"/>
      <c r="G101" s="172"/>
      <c r="H101" s="102"/>
    </row>
    <row r="102" spans="1:10" ht="19.5" customHeight="1" x14ac:dyDescent="0.3">
      <c r="C102" s="175" t="s">
        <v>78</v>
      </c>
      <c r="D102" s="176">
        <f>D101/B34</f>
        <v>11.111111111111111</v>
      </c>
      <c r="F102" s="122"/>
      <c r="G102" s="172"/>
      <c r="H102" s="102"/>
      <c r="J102" s="177"/>
    </row>
    <row r="103" spans="1:10" ht="18.75" x14ac:dyDescent="0.3">
      <c r="C103" s="178" t="s">
        <v>123</v>
      </c>
      <c r="D103" s="179">
        <f>AVERAGE(E91:E94,G91:G94)</f>
        <v>13525049.492253952</v>
      </c>
      <c r="F103" s="122"/>
      <c r="G103" s="180"/>
      <c r="H103" s="102"/>
      <c r="J103" s="181"/>
    </row>
    <row r="104" spans="1:10" ht="18.75" x14ac:dyDescent="0.3">
      <c r="C104" s="145" t="s">
        <v>80</v>
      </c>
      <c r="D104" s="182">
        <f>STDEV(E91:E94,G91:G94)/D103</f>
        <v>1.3552672550500128E-2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6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90</v>
      </c>
      <c r="B107" s="75">
        <v>900</v>
      </c>
      <c r="C107" s="222" t="s">
        <v>124</v>
      </c>
      <c r="D107" s="222" t="s">
        <v>61</v>
      </c>
      <c r="E107" s="222" t="s">
        <v>91</v>
      </c>
      <c r="F107" s="184" t="s">
        <v>92</v>
      </c>
    </row>
    <row r="108" spans="1:10" ht="26.25" customHeight="1" x14ac:dyDescent="0.4">
      <c r="A108" s="76" t="s">
        <v>93</v>
      </c>
      <c r="B108" s="77">
        <v>1</v>
      </c>
      <c r="C108" s="227">
        <v>1</v>
      </c>
      <c r="D108" s="228">
        <v>12223469</v>
      </c>
      <c r="E108" s="202">
        <f t="shared" ref="E108:E113" si="1">IF(ISBLANK(D108),"-",D108/$D$103*$D$100*$B$116)</f>
        <v>90.376519560986509</v>
      </c>
      <c r="F108" s="229">
        <f t="shared" ref="F108:F113" si="2">IF(ISBLANK(D108), "-", (E108/$B$56)*100)</f>
        <v>90.376519560986509</v>
      </c>
    </row>
    <row r="109" spans="1:10" ht="26.25" customHeight="1" x14ac:dyDescent="0.4">
      <c r="A109" s="76" t="s">
        <v>94</v>
      </c>
      <c r="B109" s="77">
        <v>1</v>
      </c>
      <c r="C109" s="223">
        <v>2</v>
      </c>
      <c r="D109" s="225">
        <v>11943052</v>
      </c>
      <c r="E109" s="203">
        <f t="shared" si="1"/>
        <v>88.30320367285907</v>
      </c>
      <c r="F109" s="230">
        <f t="shared" si="2"/>
        <v>88.30320367285907</v>
      </c>
    </row>
    <row r="110" spans="1:10" ht="26.25" customHeight="1" x14ac:dyDescent="0.4">
      <c r="A110" s="76" t="s">
        <v>95</v>
      </c>
      <c r="B110" s="77">
        <v>1</v>
      </c>
      <c r="C110" s="223">
        <v>3</v>
      </c>
      <c r="D110" s="225">
        <v>12418896</v>
      </c>
      <c r="E110" s="203">
        <f t="shared" si="1"/>
        <v>91.82144588167705</v>
      </c>
      <c r="F110" s="230">
        <f t="shared" si="2"/>
        <v>91.82144588167705</v>
      </c>
    </row>
    <row r="111" spans="1:10" ht="26.25" customHeight="1" x14ac:dyDescent="0.4">
      <c r="A111" s="76" t="s">
        <v>96</v>
      </c>
      <c r="B111" s="77">
        <v>1</v>
      </c>
      <c r="C111" s="223">
        <v>4</v>
      </c>
      <c r="D111" s="225">
        <v>12135289</v>
      </c>
      <c r="E111" s="203">
        <f t="shared" si="1"/>
        <v>89.7245441279169</v>
      </c>
      <c r="F111" s="230">
        <f t="shared" si="2"/>
        <v>89.7245441279169</v>
      </c>
    </row>
    <row r="112" spans="1:10" ht="26.25" customHeight="1" x14ac:dyDescent="0.4">
      <c r="A112" s="76" t="s">
        <v>97</v>
      </c>
      <c r="B112" s="77">
        <v>1</v>
      </c>
      <c r="C112" s="223">
        <v>5</v>
      </c>
      <c r="D112" s="225">
        <v>12249985</v>
      </c>
      <c r="E112" s="203">
        <f t="shared" si="1"/>
        <v>90.572570599581127</v>
      </c>
      <c r="F112" s="230">
        <f t="shared" si="2"/>
        <v>90.572570599581127</v>
      </c>
    </row>
    <row r="113" spans="1:10" ht="27" customHeight="1" x14ac:dyDescent="0.4">
      <c r="A113" s="76" t="s">
        <v>98</v>
      </c>
      <c r="B113" s="77">
        <v>1</v>
      </c>
      <c r="C113" s="224">
        <v>6</v>
      </c>
      <c r="D113" s="226">
        <v>12163915</v>
      </c>
      <c r="E113" s="204">
        <f t="shared" si="1"/>
        <v>89.936195848795236</v>
      </c>
      <c r="F113" s="231">
        <f t="shared" si="2"/>
        <v>89.936195848795236</v>
      </c>
    </row>
    <row r="114" spans="1:10" ht="27" customHeight="1" x14ac:dyDescent="0.4">
      <c r="A114" s="76" t="s">
        <v>99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100</v>
      </c>
      <c r="B115" s="77">
        <v>1</v>
      </c>
      <c r="C115" s="185"/>
      <c r="D115" s="209" t="s">
        <v>68</v>
      </c>
      <c r="E115" s="211">
        <f>AVERAGE(E108:E113)</f>
        <v>90.122413281969315</v>
      </c>
      <c r="F115" s="233">
        <f>AVERAGE(F108:F113)</f>
        <v>90.122413281969315</v>
      </c>
    </row>
    <row r="116" spans="1:10" ht="27" customHeight="1" x14ac:dyDescent="0.4">
      <c r="A116" s="76" t="s">
        <v>101</v>
      </c>
      <c r="B116" s="108">
        <f>(B115/B114)*(B113/B112)*(B111/B110)*(B109/B108)*B107</f>
        <v>900</v>
      </c>
      <c r="C116" s="186"/>
      <c r="D116" s="210" t="s">
        <v>80</v>
      </c>
      <c r="E116" s="208">
        <f>STDEV(E108:E113)/E115</f>
        <v>1.2802732369896376E-2</v>
      </c>
      <c r="F116" s="187">
        <f>STDEV(F108:F113)/F115</f>
        <v>1.2802732369896376E-2</v>
      </c>
      <c r="I116" s="50"/>
    </row>
    <row r="117" spans="1:10" ht="27" customHeight="1" x14ac:dyDescent="0.4">
      <c r="A117" s="312" t="s">
        <v>75</v>
      </c>
      <c r="B117" s="313"/>
      <c r="C117" s="188"/>
      <c r="D117" s="147" t="s">
        <v>20</v>
      </c>
      <c r="E117" s="213">
        <f>COUNT(E108:E113)</f>
        <v>6</v>
      </c>
      <c r="F117" s="214">
        <f>COUNT(F108:F113)</f>
        <v>6</v>
      </c>
      <c r="I117" s="50"/>
      <c r="J117" s="181"/>
    </row>
    <row r="118" spans="1:10" ht="26.25" customHeight="1" x14ac:dyDescent="0.3">
      <c r="A118" s="314"/>
      <c r="B118" s="315"/>
      <c r="C118" s="50"/>
      <c r="D118" s="212"/>
      <c r="E118" s="292" t="s">
        <v>125</v>
      </c>
      <c r="F118" s="293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126</v>
      </c>
      <c r="E119" s="215">
        <f>MIN(E108:E113)</f>
        <v>88.30320367285907</v>
      </c>
      <c r="F119" s="234">
        <f>MIN(F108:F113)</f>
        <v>88.30320367285907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127</v>
      </c>
      <c r="E120" s="216">
        <f>MAX(E108:E113)</f>
        <v>91.82144588167705</v>
      </c>
      <c r="F120" s="235">
        <f>MAX(F108:F113)</f>
        <v>91.82144588167705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118</v>
      </c>
      <c r="B124" s="149" t="s">
        <v>102</v>
      </c>
      <c r="C124" s="324" t="str">
        <f>B26</f>
        <v>Ritonavir</v>
      </c>
      <c r="D124" s="324"/>
      <c r="E124" s="150" t="s">
        <v>103</v>
      </c>
      <c r="F124" s="150"/>
      <c r="G124" s="236">
        <f>F115</f>
        <v>90.122413281969315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88.30320367285907</v>
      </c>
      <c r="E125" s="161" t="s">
        <v>130</v>
      </c>
      <c r="F125" s="236">
        <f>MAX(F108:F113)</f>
        <v>91.82144588167705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325" t="s">
        <v>26</v>
      </c>
      <c r="C127" s="325"/>
      <c r="E127" s="156" t="s">
        <v>27</v>
      </c>
      <c r="F127" s="191"/>
      <c r="G127" s="325" t="s">
        <v>28</v>
      </c>
      <c r="H127" s="325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Ritonavir </vt:lpstr>
      <vt:lpstr>'Ritonavir 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2017-12-19T08:58:59Z</cp:lastPrinted>
  <dcterms:created xsi:type="dcterms:W3CDTF">2005-07-05T10:19:27Z</dcterms:created>
  <dcterms:modified xsi:type="dcterms:W3CDTF">2017-12-19T08:59:02Z</dcterms:modified>
</cp:coreProperties>
</file>