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Raltegravir" sheetId="3" r:id="rId3"/>
  </sheets>
  <definedNames>
    <definedName name="_xlnm.Print_Area" localSheetId="2">Raltegravir!$A$1:$I$129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21" i="1" l="1"/>
  <c r="B42" i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B69" i="3" s="1"/>
  <c r="C56" i="3"/>
  <c r="B55" i="3"/>
  <c r="B45" i="3"/>
  <c r="D48" i="3" s="1"/>
  <c r="F42" i="3"/>
  <c r="D42" i="3"/>
  <c r="B34" i="3"/>
  <c r="F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I39" i="3"/>
  <c r="F45" i="3"/>
  <c r="F46" i="3" s="1"/>
  <c r="F98" i="3"/>
  <c r="F99" i="3" s="1"/>
  <c r="D102" i="3"/>
  <c r="D49" i="3"/>
  <c r="C50" i="2"/>
  <c r="D97" i="3"/>
  <c r="D98" i="3" s="1"/>
  <c r="D99" i="3" s="1"/>
  <c r="D26" i="2"/>
  <c r="D30" i="2"/>
  <c r="D34" i="2"/>
  <c r="D38" i="2"/>
  <c r="D42" i="2"/>
  <c r="B49" i="2"/>
  <c r="D44" i="3"/>
  <c r="D45" i="3" s="1"/>
  <c r="D46" i="3" s="1"/>
  <c r="G93" i="3" l="1"/>
  <c r="G41" i="3"/>
  <c r="G38" i="3"/>
  <c r="G39" i="3"/>
  <c r="G92" i="3"/>
  <c r="E39" i="3"/>
  <c r="G40" i="3"/>
  <c r="G91" i="3"/>
  <c r="G94" i="3"/>
  <c r="E93" i="3"/>
  <c r="E40" i="3"/>
  <c r="E92" i="3"/>
  <c r="E94" i="3"/>
  <c r="E38" i="3"/>
  <c r="E91" i="3"/>
  <c r="E41" i="3"/>
  <c r="G95" i="3" l="1"/>
  <c r="G42" i="3"/>
  <c r="D103" i="3"/>
  <c r="E95" i="3"/>
  <c r="D105" i="3"/>
  <c r="D50" i="3"/>
  <c r="E42" i="3"/>
  <c r="D52" i="3"/>
  <c r="D51" i="3" l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20" i="3" l="1"/>
  <c r="E117" i="3"/>
  <c r="F108" i="3"/>
  <c r="E115" i="3"/>
  <c r="E116" i="3" s="1"/>
  <c r="E119" i="3"/>
  <c r="G74" i="3"/>
  <c r="G72" i="3"/>
  <c r="G73" i="3" s="1"/>
  <c r="H60" i="3"/>
  <c r="F125" i="3" l="1"/>
  <c r="F120" i="3"/>
  <c r="F117" i="3"/>
  <c r="D125" i="3"/>
  <c r="F115" i="3"/>
  <c r="F119" i="3"/>
  <c r="H74" i="3"/>
  <c r="H72" i="3"/>
  <c r="G76" i="3" l="1"/>
  <c r="H73" i="3"/>
  <c r="G124" i="3"/>
  <c r="F116" i="3"/>
</calcChain>
</file>

<file path=xl/sharedStrings.xml><?xml version="1.0" encoding="utf-8"?>
<sst xmlns="http://schemas.openxmlformats.org/spreadsheetml/2006/main" count="239" uniqueCount="133">
  <si>
    <t>HPLC System Suitability Report</t>
  </si>
  <si>
    <t>Analysis Data</t>
  </si>
  <si>
    <t>Assay</t>
  </si>
  <si>
    <t>Sample(s)</t>
  </si>
  <si>
    <t>Reference Substance:</t>
  </si>
  <si>
    <t>ISENTRESS 400 mg TABLETS</t>
  </si>
  <si>
    <t>% age Purity:</t>
  </si>
  <si>
    <t>NDQB201709170</t>
  </si>
  <si>
    <t>Weight (mg):</t>
  </si>
  <si>
    <t>Raltegravir</t>
  </si>
  <si>
    <t>Standard Conc (mg/mL):</t>
  </si>
  <si>
    <t>Each tablets contain  400 mg of Raltegravir ( as potassium salt)</t>
  </si>
  <si>
    <t>2017-09-26 14:34:12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</si>
  <si>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</si>
  <si>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</si>
  <si>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</si>
  <si>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</si>
  <si>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</si>
  <si>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</si>
  <si>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</si>
  <si>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</si>
  <si>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</si>
  <si>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</si>
  <si>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</si>
  <si>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</si>
  <si>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</si>
  <si>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</si>
  <si>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</si>
  <si>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</si>
  <si>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</si>
  <si>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</si>
  <si>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</si>
  <si>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</si>
  <si>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</si>
  <si>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</si>
  <si>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</si>
  <si>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</si>
  <si>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</si>
  <si>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</si>
  <si>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</si>
  <si>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</si>
  <si>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</si>
  <si>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</si>
  <si>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</si>
  <si>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</si>
  <si>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</si>
  <si>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</si>
  <si>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</si>
  <si>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</si>
  <si>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</si>
  <si>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</si>
  <si>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</si>
  <si>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</si>
  <si>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</si>
  <si>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</si>
  <si>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</si>
  <si>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</si>
  <si>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</si>
  <si>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</si>
  <si>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</si>
  <si>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</si>
  <si>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</si>
  <si>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</si>
  <si>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</si>
  <si>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</si>
  <si>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</si>
  <si>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</si>
  <si>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</si>
  <si>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</si>
  <si>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</si>
  <si>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</si>
  <si>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</si>
  <si>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</si>
  <si>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</si>
  <si>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</si>
  <si>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</si>
  <si>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</si>
  <si>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</si>
  <si>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</si>
  <si>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</si>
  <si>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</si>
  <si>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</si>
  <si>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</si>
  <si>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</si>
  <si>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</si>
  <si>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</si>
  <si>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</si>
  <si>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</si>
  <si>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</si>
  <si>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</si>
  <si>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</si>
  <si>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</si>
  <si>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</si>
  <si>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</si>
  <si>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</si>
  <si>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</si>
  <si>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</si>
  <si>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</si>
  <si>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</si>
  <si>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</si>
  <si>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</si>
  <si>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</si>
  <si>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</si>
  <si>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</si>
  <si>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</si>
  <si>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</si>
  <si>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</si>
  <si>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</si>
  <si>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</si>
  <si>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</si>
  <si>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</si>
  <si>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</si>
  <si>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</si>
  <si>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</si>
  <si>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</si>
  <si>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</si>
  <si>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</si>
  <si>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</si>
  <si>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</si>
  <si>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</si>
  <si>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</si>
  <si>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</si>
  <si>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</si>
  <si>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</si>
  <si>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</si>
  <si>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</si>
  <si>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</si>
  <si>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</si>
  <si>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</si>
  <si>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</si>
  <si>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</si>
  <si>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R22-1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</si>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</sst>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C28" sqref="C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99.1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10.039999999999999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10.04/50</f>
        <v>0.20079999999999998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74095095</v>
      </c>
      <c r="C24" s="18">
        <v>12662.6</v>
      </c>
      <c r="D24" s="19">
        <v>1.04</v>
      </c>
      <c r="E24" s="20">
        <v>15.32</v>
      </c>
    </row>
    <row r="25" spans="1:6" ht="16.5" customHeight="1" x14ac:dyDescent="0.3">
      <c r="A25" s="17">
        <v>2</v>
      </c>
      <c r="B25" s="18">
        <v>74077701</v>
      </c>
      <c r="C25" s="18">
        <v>12659.54</v>
      </c>
      <c r="D25" s="19">
        <v>1.04</v>
      </c>
      <c r="E25" s="19">
        <v>15.31</v>
      </c>
    </row>
    <row r="26" spans="1:6" ht="16.5" customHeight="1" x14ac:dyDescent="0.3">
      <c r="A26" s="17">
        <v>3</v>
      </c>
      <c r="B26" s="18">
        <v>74353258</v>
      </c>
      <c r="C26" s="18">
        <v>12685.89</v>
      </c>
      <c r="D26" s="19">
        <v>1.04</v>
      </c>
      <c r="E26" s="19">
        <v>15.31</v>
      </c>
    </row>
    <row r="27" spans="1:6" ht="16.5" customHeight="1" x14ac:dyDescent="0.3">
      <c r="A27" s="17">
        <v>4</v>
      </c>
      <c r="B27" s="18">
        <v>74355452</v>
      </c>
      <c r="C27" s="18">
        <v>12664.17</v>
      </c>
      <c r="D27" s="19">
        <v>1.04</v>
      </c>
      <c r="E27" s="19">
        <v>15.3</v>
      </c>
    </row>
    <row r="28" spans="1:6" ht="16.5" customHeight="1" x14ac:dyDescent="0.3">
      <c r="A28" s="17">
        <v>5</v>
      </c>
      <c r="B28" s="18">
        <v>74516559</v>
      </c>
      <c r="C28" s="18">
        <v>12547.48</v>
      </c>
      <c r="D28" s="19">
        <v>1.05</v>
      </c>
      <c r="E28" s="19">
        <v>15.31</v>
      </c>
    </row>
    <row r="29" spans="1:6" ht="16.5" customHeight="1" x14ac:dyDescent="0.3">
      <c r="A29" s="17">
        <v>6</v>
      </c>
      <c r="B29" s="21">
        <v>74207251</v>
      </c>
      <c r="C29" s="21">
        <v>12685.77</v>
      </c>
      <c r="D29" s="22">
        <v>1.04</v>
      </c>
      <c r="E29" s="22">
        <v>15.31</v>
      </c>
    </row>
    <row r="30" spans="1:6" ht="16.5" customHeight="1" x14ac:dyDescent="0.3">
      <c r="A30" s="23" t="s">
        <v>18</v>
      </c>
      <c r="B30" s="24">
        <f>AVERAGE(B24:B29)</f>
        <v>74267552.666666672</v>
      </c>
      <c r="C30" s="25">
        <f>AVERAGE(C24:C29)</f>
        <v>12650.908333333333</v>
      </c>
      <c r="D30" s="26">
        <f>AVERAGE(D24:D29)</f>
        <v>1.0416666666666667</v>
      </c>
      <c r="E30" s="26">
        <f>AVERAGE(E24:E29)</f>
        <v>15.310000000000002</v>
      </c>
    </row>
    <row r="31" spans="1:6" ht="16.5" customHeight="1" x14ac:dyDescent="0.3">
      <c r="A31" s="27" t="s">
        <v>19</v>
      </c>
      <c r="B31" s="28">
        <f>(STDEV(B24:B29)/B30)</f>
        <v>2.3047876007808842E-3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10.78</v>
      </c>
      <c r="C41" s="10"/>
      <c r="D41" s="10"/>
      <c r="E41" s="10"/>
    </row>
    <row r="42" spans="1:6" ht="16.5" customHeight="1" x14ac:dyDescent="0.3">
      <c r="A42" s="7" t="s">
        <v>10</v>
      </c>
      <c r="B42" s="13">
        <f>10.78/25</f>
        <v>0.43119999999999997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13763395</v>
      </c>
      <c r="C45" s="18">
        <v>3711.53</v>
      </c>
      <c r="D45" s="19">
        <v>1.2</v>
      </c>
      <c r="E45" s="20">
        <v>1.42</v>
      </c>
    </row>
    <row r="46" spans="1:6" ht="16.5" customHeight="1" x14ac:dyDescent="0.3">
      <c r="A46" s="17">
        <v>2</v>
      </c>
      <c r="B46" s="18">
        <v>13743785</v>
      </c>
      <c r="C46" s="18">
        <v>3684.83</v>
      </c>
      <c r="D46" s="19">
        <v>1.28</v>
      </c>
      <c r="E46" s="19">
        <v>1.41</v>
      </c>
    </row>
    <row r="47" spans="1:6" ht="16.5" customHeight="1" x14ac:dyDescent="0.3">
      <c r="A47" s="17">
        <v>3</v>
      </c>
      <c r="B47" s="18">
        <v>13714316</v>
      </c>
      <c r="C47" s="18">
        <v>3707.7</v>
      </c>
      <c r="D47" s="19">
        <v>1.19</v>
      </c>
      <c r="E47" s="19">
        <v>1.42</v>
      </c>
    </row>
    <row r="48" spans="1:6" ht="16.5" customHeight="1" x14ac:dyDescent="0.3">
      <c r="A48" s="17">
        <v>4</v>
      </c>
      <c r="B48" s="18">
        <v>13721435</v>
      </c>
      <c r="C48" s="18">
        <v>3684.28</v>
      </c>
      <c r="D48" s="19">
        <v>1.27</v>
      </c>
      <c r="E48" s="19">
        <v>1.41</v>
      </c>
    </row>
    <row r="49" spans="1:7" ht="16.5" customHeight="1" x14ac:dyDescent="0.3">
      <c r="A49" s="17">
        <v>5</v>
      </c>
      <c r="B49" s="18">
        <v>13777104</v>
      </c>
      <c r="C49" s="18">
        <v>3710.97</v>
      </c>
      <c r="D49" s="19">
        <v>1.19</v>
      </c>
      <c r="E49" s="19">
        <v>1.42</v>
      </c>
    </row>
    <row r="50" spans="1:7" ht="16.5" customHeight="1" x14ac:dyDescent="0.3">
      <c r="A50" s="17">
        <v>6</v>
      </c>
      <c r="B50" s="21">
        <v>13729763</v>
      </c>
      <c r="C50" s="21">
        <v>3672.71</v>
      </c>
      <c r="D50" s="22">
        <v>1.26</v>
      </c>
      <c r="E50" s="22">
        <v>1.41</v>
      </c>
    </row>
    <row r="51" spans="1:7" ht="16.5" customHeight="1" x14ac:dyDescent="0.3">
      <c r="A51" s="23" t="s">
        <v>18</v>
      </c>
      <c r="B51" s="24">
        <f>AVERAGE(B45:B50)</f>
        <v>13741633</v>
      </c>
      <c r="C51" s="25">
        <f>AVERAGE(C45:C50)</f>
        <v>3695.3366666666666</v>
      </c>
      <c r="D51" s="26">
        <f>AVERAGE(D45:D50)</f>
        <v>1.2316666666666665</v>
      </c>
      <c r="E51" s="26">
        <f>AVERAGE(E45:E50)</f>
        <v>1.415</v>
      </c>
    </row>
    <row r="52" spans="1:7" ht="16.5" customHeight="1" x14ac:dyDescent="0.3">
      <c r="A52" s="27" t="s">
        <v>19</v>
      </c>
      <c r="B52" s="28">
        <f>(STDEV(B45:B50)/B51)</f>
        <v>1.791860360908128E-3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132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3" workbookViewId="0">
      <selection activeCell="D16" sqref="D1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885.86</v>
      </c>
      <c r="D24" s="87">
        <f t="shared" ref="D24:D43" si="0">(C24-$C$46)/$C$46</f>
        <v>-1.360460895378806E-2</v>
      </c>
      <c r="E24" s="53"/>
    </row>
    <row r="25" spans="1:5" ht="15.75" customHeight="1" x14ac:dyDescent="0.3">
      <c r="C25" s="95">
        <v>905.1</v>
      </c>
      <c r="D25" s="88">
        <f t="shared" si="0"/>
        <v>7.8189199601815581E-3</v>
      </c>
      <c r="E25" s="53"/>
    </row>
    <row r="26" spans="1:5" ht="15.75" customHeight="1" x14ac:dyDescent="0.3">
      <c r="C26" s="95">
        <v>893.83</v>
      </c>
      <c r="D26" s="88">
        <f t="shared" si="0"/>
        <v>-4.730101394311014E-3</v>
      </c>
      <c r="E26" s="53"/>
    </row>
    <row r="27" spans="1:5" ht="15.75" customHeight="1" x14ac:dyDescent="0.3">
      <c r="C27" s="95">
        <v>929.62</v>
      </c>
      <c r="D27" s="88">
        <f t="shared" si="0"/>
        <v>3.5121670946176069E-2</v>
      </c>
      <c r="E27" s="53"/>
    </row>
    <row r="28" spans="1:5" ht="15.75" customHeight="1" x14ac:dyDescent="0.3">
      <c r="C28" s="95">
        <v>902.11</v>
      </c>
      <c r="D28" s="88">
        <f t="shared" si="0"/>
        <v>4.4895877640916768E-3</v>
      </c>
      <c r="E28" s="53"/>
    </row>
    <row r="29" spans="1:5" ht="15.75" customHeight="1" x14ac:dyDescent="0.3">
      <c r="C29" s="95">
        <v>898.4</v>
      </c>
      <c r="D29" s="88">
        <f t="shared" si="0"/>
        <v>3.5854346727109341E-4</v>
      </c>
      <c r="E29" s="53"/>
    </row>
    <row r="30" spans="1:5" ht="15.75" customHeight="1" x14ac:dyDescent="0.3">
      <c r="C30" s="95">
        <v>898.67</v>
      </c>
      <c r="D30" s="88">
        <f t="shared" si="0"/>
        <v>6.5918550504507495E-4</v>
      </c>
      <c r="E30" s="53"/>
    </row>
    <row r="31" spans="1:5" ht="15.75" customHeight="1" x14ac:dyDescent="0.3">
      <c r="C31" s="95">
        <v>892.21</v>
      </c>
      <c r="D31" s="88">
        <f t="shared" si="0"/>
        <v>-6.5339536209550299E-3</v>
      </c>
      <c r="E31" s="53"/>
    </row>
    <row r="32" spans="1:5" ht="15.75" customHeight="1" x14ac:dyDescent="0.3">
      <c r="C32" s="95">
        <v>902.3</v>
      </c>
      <c r="D32" s="88">
        <f t="shared" si="0"/>
        <v>4.7011506795622045E-3</v>
      </c>
      <c r="E32" s="53"/>
    </row>
    <row r="33" spans="1:7" ht="15.75" customHeight="1" x14ac:dyDescent="0.3">
      <c r="C33" s="95">
        <v>887.66</v>
      </c>
      <c r="D33" s="88">
        <f t="shared" si="0"/>
        <v>-1.1600328701961432E-2</v>
      </c>
      <c r="E33" s="53"/>
    </row>
    <row r="34" spans="1:7" ht="15.75" customHeight="1" x14ac:dyDescent="0.3">
      <c r="C34" s="95">
        <v>910.88</v>
      </c>
      <c r="D34" s="88">
        <f t="shared" si="0"/>
        <v>1.4254886546602752E-2</v>
      </c>
      <c r="E34" s="53"/>
    </row>
    <row r="35" spans="1:7" ht="15.75" customHeight="1" x14ac:dyDescent="0.3">
      <c r="C35" s="95">
        <v>914.68</v>
      </c>
      <c r="D35" s="88">
        <f t="shared" si="0"/>
        <v>1.8486144856014578E-2</v>
      </c>
      <c r="E35" s="53"/>
    </row>
    <row r="36" spans="1:7" ht="15.75" customHeight="1" x14ac:dyDescent="0.3">
      <c r="C36" s="95">
        <v>884.1</v>
      </c>
      <c r="D36" s="88">
        <f t="shared" si="0"/>
        <v>-1.5564349644463025E-2</v>
      </c>
      <c r="E36" s="53"/>
    </row>
    <row r="37" spans="1:7" ht="15.75" customHeight="1" x14ac:dyDescent="0.3">
      <c r="C37" s="95">
        <v>894.54</v>
      </c>
      <c r="D37" s="88">
        <f t="shared" si="0"/>
        <v>-3.9395241838683544E-3</v>
      </c>
      <c r="E37" s="53"/>
    </row>
    <row r="38" spans="1:7" ht="15.75" customHeight="1" x14ac:dyDescent="0.3">
      <c r="C38" s="95">
        <v>884.55</v>
      </c>
      <c r="D38" s="88">
        <f t="shared" si="0"/>
        <v>-1.506327958150643E-2</v>
      </c>
      <c r="E38" s="53"/>
    </row>
    <row r="39" spans="1:7" ht="15.75" customHeight="1" x14ac:dyDescent="0.3">
      <c r="C39" s="95">
        <v>882.8</v>
      </c>
      <c r="D39" s="88">
        <f t="shared" si="0"/>
        <v>-1.701188538189348E-2</v>
      </c>
      <c r="E39" s="53"/>
    </row>
    <row r="40" spans="1:7" ht="15.75" customHeight="1" x14ac:dyDescent="0.3">
      <c r="C40" s="95">
        <v>897.26</v>
      </c>
      <c r="D40" s="88">
        <f t="shared" si="0"/>
        <v>-9.1083402555245448E-4</v>
      </c>
      <c r="E40" s="53"/>
    </row>
    <row r="41" spans="1:7" ht="15.75" customHeight="1" x14ac:dyDescent="0.3">
      <c r="C41" s="95">
        <v>894.62</v>
      </c>
      <c r="D41" s="88">
        <f t="shared" si="0"/>
        <v>-3.8504450615649013E-3</v>
      </c>
      <c r="E41" s="53"/>
    </row>
    <row r="42" spans="1:7" ht="15.75" customHeight="1" x14ac:dyDescent="0.3">
      <c r="C42" s="95">
        <v>899.72</v>
      </c>
      <c r="D42" s="88">
        <f t="shared" si="0"/>
        <v>1.8283489852773801E-3</v>
      </c>
      <c r="E42" s="53"/>
    </row>
    <row r="43" spans="1:7" ht="16.5" customHeight="1" x14ac:dyDescent="0.3">
      <c r="C43" s="96">
        <v>902.65</v>
      </c>
      <c r="D43" s="89">
        <f t="shared" si="0"/>
        <v>5.0908718396396402E-3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17961.560000000001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898.07800000000009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898.07800000000009</v>
      </c>
      <c r="C49" s="93">
        <f>-IF(C46&lt;=80,10%,IF(C46&lt;250,7.5%,5%))</f>
        <v>-0.05</v>
      </c>
      <c r="D49" s="81">
        <f>IF(C46&lt;=80,C46*0.9,IF(C46&lt;250,C46*0.925,C46*0.95))</f>
        <v>853.17410000000007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942.98190000000011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3" zoomScale="50" zoomScaleNormal="40" zoomScalePageLayoutView="50" workbookViewId="0">
      <selection activeCell="B19" sqref="B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9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>
        <v>43180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43185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9</v>
      </c>
      <c r="C26" s="298"/>
    </row>
    <row r="27" spans="1:14" ht="26.25" customHeight="1" x14ac:dyDescent="0.4">
      <c r="A27" s="109" t="s">
        <v>48</v>
      </c>
      <c r="B27" s="304" t="s">
        <v>131</v>
      </c>
      <c r="C27" s="304"/>
    </row>
    <row r="28" spans="1:14" ht="27" customHeight="1" x14ac:dyDescent="0.4">
      <c r="A28" s="109" t="s">
        <v>6</v>
      </c>
      <c r="B28" s="110">
        <v>99.1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99.1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444.423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482.51400000000001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0.92105721284771014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74395265</v>
      </c>
      <c r="E38" s="133">
        <f>IF(ISBLANK(D38),"-",$D$48/$D$45*D38)</f>
        <v>81180424.865808591</v>
      </c>
      <c r="F38" s="132">
        <v>88214466</v>
      </c>
      <c r="G38" s="134">
        <f>IF(ISBLANK(F38),"-",$D$48/$F$45*F38)</f>
        <v>81625874.050368324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74348291</v>
      </c>
      <c r="E39" s="138">
        <f>IF(ISBLANK(D39),"-",$D$48/$D$45*D39)</f>
        <v>81129166.640199125</v>
      </c>
      <c r="F39" s="137">
        <v>88555360</v>
      </c>
      <c r="G39" s="139">
        <f>IF(ISBLANK(F39),"-",$D$48/$F$45*F39)</f>
        <v>81941307.2437011</v>
      </c>
      <c r="I39" s="315">
        <f>ABS((F43/D43*D42)-F42)/D42</f>
        <v>7.3242958167898031E-3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74537807</v>
      </c>
      <c r="E40" s="138">
        <f>IF(ISBLANK(D40),"-",$D$48/$D$45*D40)</f>
        <v>81335967.293424413</v>
      </c>
      <c r="F40" s="137">
        <v>88177439</v>
      </c>
      <c r="G40" s="139">
        <f>IF(ISBLANK(F40),"-",$D$48/$F$45*F40)</f>
        <v>81591612.53549996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74427121</v>
      </c>
      <c r="E42" s="148">
        <f>AVERAGE(E38:E41)</f>
        <v>81215186.266477391</v>
      </c>
      <c r="F42" s="147">
        <f>AVERAGE(F38:F41)</f>
        <v>88315755</v>
      </c>
      <c r="G42" s="149">
        <f>AVERAGE(G38:G41)</f>
        <v>81719597.943189785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10.039999999999999</v>
      </c>
      <c r="E43" s="140"/>
      <c r="F43" s="152">
        <v>11.84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9.2474144169910097</v>
      </c>
      <c r="E44" s="155"/>
      <c r="F44" s="154">
        <f>F43*$B$34</f>
        <v>10.905317400116887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9.1641876872380905</v>
      </c>
      <c r="E45" s="158"/>
      <c r="F45" s="157">
        <f>F44*$B$30/100</f>
        <v>10.807169543515835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0.1832837537447618</v>
      </c>
      <c r="E46" s="160"/>
      <c r="F46" s="161">
        <f>F45/$B$45</f>
        <v>0.2161433908703167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10.857088854537231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81467392.104833588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3.799901530904406E-3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tablets contain  400 mg of Raltegravir ( as potassium salt)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>Raltegravir</v>
      </c>
      <c r="H56" s="179"/>
    </row>
    <row r="57" spans="1:12" ht="18.75" x14ac:dyDescent="0.3">
      <c r="A57" s="176" t="s">
        <v>88</v>
      </c>
      <c r="B57" s="247">
        <f>Uniformity!C46</f>
        <v>898.07800000000009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20" t="s">
        <v>94</v>
      </c>
      <c r="D60" s="323">
        <v>884.19</v>
      </c>
      <c r="E60" s="182">
        <v>1</v>
      </c>
      <c r="F60" s="183">
        <v>83293786</v>
      </c>
      <c r="G60" s="248">
        <f>IF(ISBLANK(F60),"-",(F60/$D$50*$D$47*$B$68)*($B$57/$D$60))</f>
        <v>415.39114935430996</v>
      </c>
      <c r="H60" s="266">
        <f t="shared" ref="H60:H71" si="0">IF(ISBLANK(F60),"-",(G60/$B$56)*100)</f>
        <v>103.84778733857749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21"/>
      <c r="D61" s="324"/>
      <c r="E61" s="184">
        <v>2</v>
      </c>
      <c r="F61" s="137">
        <v>83759345</v>
      </c>
      <c r="G61" s="249">
        <f>IF(ISBLANK(F61),"-",(F61/$D$50*$D$47*$B$68)*($B$57/$D$60))</f>
        <v>417.71292024970722</v>
      </c>
      <c r="H61" s="267">
        <f t="shared" si="0"/>
        <v>104.42823006242681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83586459</v>
      </c>
      <c r="G62" s="249">
        <f>IF(ISBLANK(F62),"-",(F62/$D$50*$D$47*$B$68)*($B$57/$D$60))</f>
        <v>416.85072730956068</v>
      </c>
      <c r="H62" s="267">
        <f t="shared" si="0"/>
        <v>104.21268182739016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894.69</v>
      </c>
      <c r="E64" s="182">
        <v>1</v>
      </c>
      <c r="F64" s="183">
        <v>84661259</v>
      </c>
      <c r="G64" s="248">
        <f>IF(ISBLANK(F64),"-",(F64/$D$50*$D$47*$B$68)*($B$57/$D$64))</f>
        <v>417.2557923641557</v>
      </c>
      <c r="H64" s="266">
        <f t="shared" si="0"/>
        <v>104.31394809103894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84904956</v>
      </c>
      <c r="G65" s="249">
        <f>IF(ISBLANK(F65),"-",(F65/$D$50*$D$47*$B$68)*($B$57/$D$64))</f>
        <v>418.45686102333747</v>
      </c>
      <c r="H65" s="267">
        <f t="shared" si="0"/>
        <v>104.61421525583437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84616422</v>
      </c>
      <c r="G66" s="249">
        <f>IF(ISBLANK(F66),"-",(F66/$D$50*$D$47*$B$68)*($B$57/$D$64))</f>
        <v>417.03481173874076</v>
      </c>
      <c r="H66" s="267">
        <f t="shared" si="0"/>
        <v>104.2587029346852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320" t="s">
        <v>104</v>
      </c>
      <c r="D68" s="323">
        <v>897.52</v>
      </c>
      <c r="E68" s="182">
        <v>1</v>
      </c>
      <c r="F68" s="183">
        <v>85083516</v>
      </c>
      <c r="G68" s="248">
        <f>IF(ISBLANK(F68),"-",(F68/$D$50*$D$47*$B$68)*($B$57/$D$68))</f>
        <v>418.01467479150881</v>
      </c>
      <c r="H68" s="267">
        <f t="shared" si="0"/>
        <v>104.50366869787719</v>
      </c>
    </row>
    <row r="69" spans="1:8" ht="27" customHeight="1" x14ac:dyDescent="0.4">
      <c r="A69" s="172" t="s">
        <v>105</v>
      </c>
      <c r="B69" s="189">
        <f>(D47*B68)/B56*B57</f>
        <v>898.07800000000009</v>
      </c>
      <c r="C69" s="321"/>
      <c r="D69" s="324"/>
      <c r="E69" s="184">
        <v>2</v>
      </c>
      <c r="F69" s="137">
        <v>84989076</v>
      </c>
      <c r="G69" s="249">
        <f>IF(ISBLANK(F69),"-",(F69/$D$50*$D$47*$B$68)*($B$57/$D$68))</f>
        <v>417.55069178112973</v>
      </c>
      <c r="H69" s="267">
        <f t="shared" si="0"/>
        <v>104.38767294528245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85319554</v>
      </c>
      <c r="G70" s="249">
        <f>IF(ISBLANK(F70),"-",(F70/$D$50*$D$47*$B$68)*($B$57/$D$68))</f>
        <v>419.17432771192216</v>
      </c>
      <c r="H70" s="267">
        <f t="shared" si="0"/>
        <v>104.79358192798054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417.49355070270803</v>
      </c>
      <c r="H72" s="269">
        <f>AVERAGE(H60:H71)</f>
        <v>104.37338767567701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2.5652940419097882E-3</v>
      </c>
      <c r="H73" s="253">
        <f>STDEV(H60:H71)/H72</f>
        <v>2.5652940419097804E-3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Raltegravir</v>
      </c>
      <c r="D76" s="328"/>
      <c r="E76" s="198" t="s">
        <v>108</v>
      </c>
      <c r="F76" s="198"/>
      <c r="G76" s="285">
        <f>H72</f>
        <v>104.37338767567701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Raltegravir</v>
      </c>
      <c r="C79" s="314"/>
    </row>
    <row r="80" spans="1:8" ht="26.25" customHeight="1" x14ac:dyDescent="0.4">
      <c r="A80" s="109" t="s">
        <v>48</v>
      </c>
      <c r="B80" s="314" t="str">
        <f>B27</f>
        <v>R22-1</v>
      </c>
      <c r="C80" s="314"/>
    </row>
    <row r="81" spans="1:12" ht="27" customHeight="1" x14ac:dyDescent="0.4">
      <c r="A81" s="109" t="s">
        <v>6</v>
      </c>
      <c r="B81" s="201">
        <f>B28</f>
        <v>99.1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99.1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444.423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482.51400000000001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0.92105721284771014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13841294</v>
      </c>
      <c r="E91" s="133">
        <f>IF(ISBLANK(D91),"-",$D$101/$D$98*D91)</f>
        <v>15629862.622577958</v>
      </c>
      <c r="F91" s="132">
        <v>15201335</v>
      </c>
      <c r="G91" s="134">
        <f>IF(ISBLANK(F91),"-",$D$101/$F$98*F91)</f>
        <v>15938474.000967722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13851961</v>
      </c>
      <c r="E92" s="138">
        <f>IF(ISBLANK(D92),"-",$D$101/$D$98*D92)</f>
        <v>15641908.009706866</v>
      </c>
      <c r="F92" s="137">
        <v>15208499</v>
      </c>
      <c r="G92" s="139">
        <f>IF(ISBLANK(F92),"-",$D$101/$F$98*F92)</f>
        <v>15945985.395706601</v>
      </c>
      <c r="I92" s="315">
        <f>ABS((F96/D96*D95)-F95)/D95</f>
        <v>1.8898207825184265E-2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13881499</v>
      </c>
      <c r="E93" s="138">
        <f>IF(ISBLANK(D93),"-",$D$101/$D$98*D93)</f>
        <v>15675262.90283649</v>
      </c>
      <c r="F93" s="137">
        <v>15151633</v>
      </c>
      <c r="G93" s="139">
        <f>IF(ISBLANK(F93),"-",$D$101/$F$98*F93)</f>
        <v>15886361.865106229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13858251.333333334</v>
      </c>
      <c r="E95" s="148">
        <f>AVERAGE(E91:E94)</f>
        <v>15649011.178373771</v>
      </c>
      <c r="F95" s="211">
        <f>AVERAGE(F91:F94)</f>
        <v>15187155.666666666</v>
      </c>
      <c r="G95" s="212">
        <f>AVERAGE(G91:G94)</f>
        <v>15923607.087260185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10.78</v>
      </c>
      <c r="E96" s="140"/>
      <c r="F96" s="152">
        <v>11.61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9.9289967544983142</v>
      </c>
      <c r="E97" s="155"/>
      <c r="F97" s="154">
        <f>F96*$B$87</f>
        <v>10.693474241161914</v>
      </c>
    </row>
    <row r="98" spans="1:10" ht="19.5" customHeight="1" x14ac:dyDescent="0.3">
      <c r="A98" s="124" t="s">
        <v>76</v>
      </c>
      <c r="B98" s="217">
        <f>(B97/B96)*(B95/B94)*(B93/B92)*(B91/B90)*B89</f>
        <v>25</v>
      </c>
      <c r="C98" s="215" t="s">
        <v>115</v>
      </c>
      <c r="D98" s="218">
        <f>D97*$B$83/100</f>
        <v>9.8396357837078288</v>
      </c>
      <c r="E98" s="158"/>
      <c r="F98" s="157">
        <f>F97*$B$83/100</f>
        <v>10.597232972991456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0.39358543134831314</v>
      </c>
      <c r="E99" s="158"/>
      <c r="F99" s="161">
        <f>F98/$B$98</f>
        <v>0.42388931891965825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0.44444444444444442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12.063432060596924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15786309.132816976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9.661865040864059E-3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14164326</v>
      </c>
      <c r="E108" s="250">
        <f t="shared" ref="E108:E113" si="1">IF(ISBLANK(D108),"-",D108/$D$103*$D$100*$B$116)</f>
        <v>358.90152361339085</v>
      </c>
      <c r="F108" s="277">
        <f t="shared" ref="F108:F113" si="2">IF(ISBLANK(D108), "-", (E108/$B$56)*100)</f>
        <v>89.725380903347713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13843383</v>
      </c>
      <c r="E109" s="251">
        <f t="shared" si="1"/>
        <v>350.76933774778365</v>
      </c>
      <c r="F109" s="278">
        <f t="shared" si="2"/>
        <v>87.692334436945913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12994535</v>
      </c>
      <c r="E110" s="251">
        <f t="shared" si="1"/>
        <v>329.26087765471749</v>
      </c>
      <c r="F110" s="278">
        <f t="shared" si="2"/>
        <v>82.315219413679372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12705857</v>
      </c>
      <c r="E111" s="251">
        <f t="shared" si="1"/>
        <v>321.94623564254789</v>
      </c>
      <c r="F111" s="278">
        <f t="shared" si="2"/>
        <v>80.486558910636973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13544230</v>
      </c>
      <c r="E112" s="251">
        <f t="shared" si="1"/>
        <v>343.18927587307701</v>
      </c>
      <c r="F112" s="278">
        <f t="shared" si="2"/>
        <v>85.797318968269252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12565002</v>
      </c>
      <c r="E113" s="252">
        <f t="shared" si="1"/>
        <v>318.37719366281902</v>
      </c>
      <c r="F113" s="279">
        <f t="shared" si="2"/>
        <v>79.594298415704756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337.07407403238932</v>
      </c>
      <c r="F115" s="281">
        <f>AVERAGE(F108:F113)</f>
        <v>84.26851850809733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4.858274753504456E-2</v>
      </c>
      <c r="F116" s="235">
        <f>STDEV(F108:F113)/F115</f>
        <v>4.858274753504456E-2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318.37719366281902</v>
      </c>
      <c r="F119" s="282">
        <f>MIN(F108:F113)</f>
        <v>79.594298415704756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358.90152361339085</v>
      </c>
      <c r="F120" s="283">
        <f>MAX(F108:F113)</f>
        <v>89.725380903347713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Raltegravir</v>
      </c>
      <c r="D124" s="328"/>
      <c r="E124" s="198" t="s">
        <v>127</v>
      </c>
      <c r="F124" s="198"/>
      <c r="G124" s="284">
        <f>F115</f>
        <v>84.26851850809733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79.594298415704756</v>
      </c>
      <c r="E125" s="209" t="s">
        <v>130</v>
      </c>
      <c r="F125" s="284">
        <f>MAX(F108:F113)</f>
        <v>89.725380903347713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Raltegravir</vt:lpstr>
      <vt:lpstr>Raltegravir!Print_Area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2018-03-26T10:04:31Z</cp:lastPrinted>
  <dcterms:created xsi:type="dcterms:W3CDTF">2005-07-05T10:19:27Z</dcterms:created>
  <dcterms:modified xsi:type="dcterms:W3CDTF">2018-03-28T08:07:25Z</dcterms:modified>
</cp:coreProperties>
</file>