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3"/>
  </bookViews>
  <sheets>
    <sheet name="SST" sheetId="1" r:id="rId1"/>
    <sheet name="Uniformity" sheetId="2" r:id="rId2"/>
    <sheet name="Artesunate" sheetId="3" r:id="rId3"/>
    <sheet name="Sodium Chloride" sheetId="4" r:id="rId4"/>
    <sheet name="Sodium Bicarbonate" sheetId="5" r:id="rId5"/>
  </sheets>
  <externalReferences>
    <externalReference r:id="rId6"/>
  </externalReferences>
  <definedNames>
    <definedName name="_xlnm.Print_Area" localSheetId="4">'Sodium Bicarbonate'!$A$1:$I$63</definedName>
    <definedName name="_xlnm.Print_Area" localSheetId="3">'Sodium Chloride'!$A$1:$I$64</definedName>
  </definedNames>
  <calcPr calcId="145621"/>
</workbook>
</file>

<file path=xl/calcChain.xml><?xml version="1.0" encoding="utf-8"?>
<calcChain xmlns="http://schemas.openxmlformats.org/spreadsheetml/2006/main">
  <c r="D57" i="5" l="1"/>
  <c r="B57" i="5"/>
  <c r="D55" i="5"/>
  <c r="D56" i="5" s="1"/>
  <c r="I54" i="5"/>
  <c r="H54" i="5"/>
  <c r="G54" i="5"/>
  <c r="F54" i="5"/>
  <c r="E54" i="5"/>
  <c r="E53" i="5"/>
  <c r="E51" i="5"/>
  <c r="E47" i="5"/>
  <c r="B47" i="5"/>
  <c r="E45" i="5"/>
  <c r="G37" i="5"/>
  <c r="F37" i="5"/>
  <c r="E37" i="5"/>
  <c r="C37" i="5"/>
  <c r="C36" i="5"/>
  <c r="E36" i="5" s="1"/>
  <c r="C35" i="5"/>
  <c r="E35" i="5" s="1"/>
  <c r="G35" i="5" s="1"/>
  <c r="C34" i="5"/>
  <c r="E34" i="5" s="1"/>
  <c r="D58" i="4"/>
  <c r="D57" i="4"/>
  <c r="B57" i="4"/>
  <c r="D56" i="4"/>
  <c r="I55" i="4"/>
  <c r="H55" i="4"/>
  <c r="G55" i="4"/>
  <c r="F55" i="4"/>
  <c r="E55" i="4"/>
  <c r="E54" i="4"/>
  <c r="E53" i="4"/>
  <c r="E52" i="4"/>
  <c r="C48" i="4"/>
  <c r="E46" i="4"/>
  <c r="B44" i="4"/>
  <c r="G37" i="4"/>
  <c r="F37" i="4"/>
  <c r="E37" i="4"/>
  <c r="C37" i="4"/>
  <c r="C36" i="4"/>
  <c r="E36" i="4" s="1"/>
  <c r="F36" i="4" s="1"/>
  <c r="C35" i="4"/>
  <c r="E35" i="4" s="1"/>
  <c r="C34" i="4"/>
  <c r="E34" i="4" s="1"/>
  <c r="G34" i="4" s="1"/>
  <c r="F35" i="4" l="1"/>
  <c r="G35" i="4"/>
  <c r="E52" i="5"/>
  <c r="E40" i="5"/>
  <c r="G34" i="5"/>
  <c r="E38" i="5"/>
  <c r="E39" i="5" s="1"/>
  <c r="F34" i="5"/>
  <c r="F38" i="5" s="1"/>
  <c r="G36" i="5"/>
  <c r="F36" i="5"/>
  <c r="F35" i="5"/>
  <c r="E38" i="4"/>
  <c r="E39" i="4" s="1"/>
  <c r="F34" i="4"/>
  <c r="F38" i="4" s="1"/>
  <c r="G36" i="4"/>
  <c r="G38" i="4" s="1"/>
  <c r="E40" i="4"/>
  <c r="C32" i="2"/>
  <c r="B21" i="1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D44" i="3" s="1"/>
  <c r="B30" i="3"/>
  <c r="C33" i="2"/>
  <c r="B33" i="2"/>
  <c r="B32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D32" i="2"/>
  <c r="D33" i="2"/>
  <c r="B57" i="3" s="1"/>
  <c r="B69" i="3" s="1"/>
  <c r="G38" i="5"/>
  <c r="F52" i="5"/>
  <c r="G52" i="5" s="1"/>
  <c r="H52" i="5" s="1"/>
  <c r="I52" i="5" s="1"/>
  <c r="F52" i="4"/>
  <c r="G52" i="4" s="1"/>
  <c r="F53" i="4"/>
  <c r="G53" i="4" s="1"/>
  <c r="H53" i="4" s="1"/>
  <c r="I53" i="4" s="1"/>
  <c r="F54" i="4"/>
  <c r="G54" i="4" s="1"/>
  <c r="H54" i="4" s="1"/>
  <c r="I54" i="4" s="1"/>
  <c r="E40" i="3"/>
  <c r="D45" i="3"/>
  <c r="D46" i="3" s="1"/>
  <c r="E30" i="2"/>
  <c r="F44" i="3"/>
  <c r="F45" i="3" s="1"/>
  <c r="F46" i="3" s="1"/>
  <c r="G38" i="3" l="1"/>
  <c r="E39" i="3"/>
  <c r="E38" i="3"/>
  <c r="F53" i="5"/>
  <c r="G53" i="5" s="1"/>
  <c r="H53" i="5" s="1"/>
  <c r="I53" i="5" s="1"/>
  <c r="F51" i="5"/>
  <c r="G51" i="5" s="1"/>
  <c r="G39" i="3"/>
  <c r="G40" i="3"/>
  <c r="G58" i="4"/>
  <c r="G56" i="4"/>
  <c r="H52" i="4"/>
  <c r="D50" i="3"/>
  <c r="D38" i="2"/>
  <c r="D37" i="2"/>
  <c r="C38" i="2"/>
  <c r="C37" i="2"/>
  <c r="B37" i="2"/>
  <c r="E26" i="2"/>
  <c r="E29" i="2"/>
  <c r="E27" i="2"/>
  <c r="E21" i="2"/>
  <c r="E22" i="2"/>
  <c r="E25" i="2"/>
  <c r="E28" i="2"/>
  <c r="E23" i="2"/>
  <c r="E24" i="2"/>
  <c r="D52" i="3" l="1"/>
  <c r="E42" i="3"/>
  <c r="D51" i="3"/>
  <c r="G66" i="3"/>
  <c r="H66" i="3" s="1"/>
  <c r="G61" i="3"/>
  <c r="H61" i="3" s="1"/>
  <c r="G70" i="3"/>
  <c r="H70" i="3" s="1"/>
  <c r="G64" i="3"/>
  <c r="H64" i="3" s="1"/>
  <c r="G65" i="3"/>
  <c r="H65" i="3" s="1"/>
  <c r="G60" i="3"/>
  <c r="H60" i="3" s="1"/>
  <c r="G62" i="3"/>
  <c r="H62" i="3" s="1"/>
  <c r="G69" i="3"/>
  <c r="H69" i="3" s="1"/>
  <c r="G68" i="3"/>
  <c r="H68" i="3" s="1"/>
  <c r="H51" i="5"/>
  <c r="G57" i="5"/>
  <c r="G55" i="5"/>
  <c r="G42" i="3"/>
  <c r="H58" i="4"/>
  <c r="I52" i="4"/>
  <c r="H56" i="4"/>
  <c r="H57" i="4" s="1"/>
  <c r="H55" i="5" l="1"/>
  <c r="H56" i="5" s="1"/>
  <c r="I51" i="5"/>
  <c r="H57" i="5"/>
  <c r="H72" i="3"/>
  <c r="H74" i="3"/>
  <c r="I58" i="4"/>
  <c r="I56" i="4"/>
  <c r="I57" i="4" s="1"/>
  <c r="I57" i="5" l="1"/>
  <c r="I55" i="5"/>
  <c r="I56" i="5" s="1"/>
  <c r="H73" i="3"/>
  <c r="G76" i="3"/>
</calcChain>
</file>

<file path=xl/sharedStrings.xml><?xml version="1.0" encoding="utf-8"?>
<sst xmlns="http://schemas.openxmlformats.org/spreadsheetml/2006/main" count="306" uniqueCount="157">
  <si>
    <t>HPLC System Suitability Report</t>
  </si>
  <si>
    <t>Analysis Data</t>
  </si>
  <si>
    <t>Assay</t>
  </si>
  <si>
    <t>Sample(s)</t>
  </si>
  <si>
    <t>Reference Substance:</t>
  </si>
  <si>
    <t>ARTESUN 60 MG INJECTION I.M./I.V.</t>
  </si>
  <si>
    <t>% age Purity:</t>
  </si>
  <si>
    <t>NDQB201709176</t>
  </si>
  <si>
    <t>Weight (mg):</t>
  </si>
  <si>
    <t>Artesunate 60 mg</t>
  </si>
  <si>
    <t>Standard Conc (mg/mL):</t>
  </si>
  <si>
    <t>Each box contains 1 vial of Artesunate 60 mg for injection, 1 ampoule of sodium bicarbonate 50 mg/mL injection and 1 ampoule of sodium chloride 9 mg/mL injection.</t>
  </si>
  <si>
    <t>2017-09-26 15:51:38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</si>
  <si>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</si>
  <si>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</si>
  <si>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</si>
  <si>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</si>
  <si>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</si>
  <si>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</si>
  <si>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</si>
  <si>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</si>
  <si>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</si>
  <si>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</si>
  <si>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</si>
  <si>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</si>
  <si>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</si>
  <si>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</si>
  <si>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</si>
  <si>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</si>
  <si>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</si>
  <si>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</si>
  <si>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</si>
  <si>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</si>
  <si>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</si>
  <si>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</si>
  <si>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</si>
  <si>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</si>
  <si>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</si>
  <si>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</si>
  <si>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2017-12-20 14:33:40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</si>
  <si>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</si>
  <si>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</si>
  <si>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</si>
  <si>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</si>
  <si>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</si>
  <si>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</si>
  <si>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</si>
  <si>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</si>
  <si>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</si>
  <si>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</si>
  <si>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</si>
  <si>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</si>
  <si>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</si>
  <si>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</si>
  <si>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</si>
  <si>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</si>
  <si>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</si>
  <si>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</si>
  <si>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</si>
  <si>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</si>
  <si>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</si>
  <si>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</si>
  <si>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</si>
  <si>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</si>
  <si>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</si>
  <si>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</si>
  <si>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</si>
  <si>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</si>
  <si>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</si>
  <si>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</si>
  <si>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</si>
  <si>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</si>
  <si>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</si>
  <si>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</si>
  <si>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</si>
  <si>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</si>
  <si>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</si>
  <si>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</si>
  <si>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</si>
  <si>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</si>
  <si>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</si>
  <si>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</si>
  <si>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</si>
  <si>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</si>
  <si>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</si>
  <si>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</si>
  <si>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</si>
  <si>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</si>
  <si>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</si>
  <si>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</si>
  <si>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</si>
  <si>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</si>
  <si>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</si>
  <si>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</si>
  <si>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</si>
  <si>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</si>
  <si>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</si>
  <si>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</si>
  <si>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</si>
  <si>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</si>
  <si>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</si>
  <si>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</si>
  <si>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</si>
  <si>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</si>
  <si>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</si>
  <si>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</si>
  <si>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</si>
  <si>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</si>
  <si>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</si>
  <si>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</si>
  <si>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</si>
  <si>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</si>
  <si>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Artesunate</t>
  </si>
  <si>
    <t>A15-4</t>
  </si>
  <si>
    <t xml:space="preserve">Artesunate </t>
  </si>
  <si>
    <t>National Quality Control Laoboratory</t>
  </si>
  <si>
    <t>ARTESUN 60 mg INJECTION I.M./I.V.</t>
  </si>
  <si>
    <t>CHLORIDE</t>
  </si>
  <si>
    <t>Standardisation of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</si>
  <si>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</si>
  <si>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</si>
  <si>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</si>
  <si>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</si>
  <si>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</si>
  <si>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</si>
  <si>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</si>
  <si>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</si>
  <si>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</si>
  <si>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</si>
  <si>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</si>
  <si>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</si>
  <si>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</si>
  <si>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</si>
  <si>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</si>
  <si>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</si>
  <si>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</si>
  <si>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</si>
  <si>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</si>
  <si>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</si>
  <si>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</si>
  <si>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</si>
  <si>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</si>
  <si>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</si>
  <si>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</si>
  <si>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</si>
  <si>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</si>
  <si>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</si>
  <si>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</si>
  <si>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</si>
  <si>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BICARBONATE</t>
  </si>
  <si>
    <t>Standardisation of the Volumetric Solutions</t>
  </si>
  <si>
    <t>Volumetric Solution:</t>
  </si>
  <si>
    <t>0.5M HCL</t>
  </si>
  <si>
    <t>SODIUM CARBONATE</t>
  </si>
  <si>
    <t>Each mL of</t>
  </si>
  <si>
    <t>is equivalent to</t>
  </si>
  <si>
    <t>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</si>
</sst>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0\ &quot;mg&quot;"/>
    <numFmt numFmtId="172" formatCode="0.00\ &quot;M&quot;"/>
    <numFmt numFmtId="173" formatCode="0\ &quot;mL&quot;"/>
    <numFmt numFmtId="174" formatCode="0.000\ &quot;mg&quot;"/>
    <numFmt numFmtId="175" formatCode="General\ &quot;VS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1" fillId="2" borderId="0"/>
    <xf numFmtId="0" fontId="21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15" fontId="12" fillId="3" borderId="0" xfId="0" applyNumberFormat="1" applyFont="1" applyFill="1" applyAlignment="1" applyProtection="1">
      <alignment horizontal="left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0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0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0" fontId="10" fillId="2" borderId="38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0" fontId="10" fillId="2" borderId="42" xfId="0" applyNumberFormat="1" applyFont="1" applyFill="1" applyBorder="1" applyAlignment="1">
      <alignment horizontal="center"/>
    </xf>
    <xf numFmtId="170" fontId="10" fillId="2" borderId="43" xfId="0" applyNumberFormat="1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3" fillId="3" borderId="44" xfId="0" applyFont="1" applyFill="1" applyBorder="1" applyAlignment="1" applyProtection="1">
      <alignment horizontal="center"/>
      <protection locked="0"/>
    </xf>
    <xf numFmtId="170" fontId="10" fillId="2" borderId="45" xfId="0" applyNumberFormat="1" applyFont="1" applyFill="1" applyBorder="1" applyAlignment="1">
      <alignment horizontal="center"/>
    </xf>
    <xf numFmtId="170" fontId="10" fillId="2" borderId="46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" fontId="11" fillId="6" borderId="25" xfId="0" applyNumberFormat="1" applyFont="1" applyFill="1" applyBorder="1" applyAlignment="1">
      <alignment horizontal="center"/>
    </xf>
    <xf numFmtId="170" fontId="11" fillId="6" borderId="47" xfId="0" applyNumberFormat="1" applyFont="1" applyFill="1" applyBorder="1" applyAlignment="1">
      <alignment horizontal="center"/>
    </xf>
    <xf numFmtId="170" fontId="11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9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1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6" xfId="0" applyFont="1" applyFill="1" applyBorder="1" applyAlignment="1">
      <alignment horizontal="center"/>
    </xf>
    <xf numFmtId="2" fontId="10" fillId="7" borderId="17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8" xfId="0" applyNumberFormat="1" applyFont="1" applyFill="1" applyBorder="1" applyAlignment="1">
      <alignment horizontal="center"/>
    </xf>
    <xf numFmtId="0" fontId="10" fillId="2" borderId="50" xfId="0" applyFont="1" applyFill="1" applyBorder="1" applyAlignment="1">
      <alignment horizontal="right"/>
    </xf>
    <xf numFmtId="0" fontId="13" fillId="3" borderId="17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41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32" xfId="0" applyNumberFormat="1" applyFont="1" applyFill="1" applyBorder="1" applyAlignment="1">
      <alignment horizontal="center"/>
    </xf>
    <xf numFmtId="170" fontId="11" fillId="7" borderId="31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17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7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0" fillId="2" borderId="33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10" fontId="10" fillId="2" borderId="52" xfId="0" applyNumberFormat="1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13" fillId="3" borderId="51" xfId="0" applyFont="1" applyFill="1" applyBorder="1" applyAlignment="1" applyProtection="1">
      <alignment horizontal="center"/>
      <protection locked="0"/>
    </xf>
    <xf numFmtId="2" fontId="10" fillId="2" borderId="31" xfId="0" applyNumberFormat="1" applyFont="1" applyFill="1" applyBorder="1" applyAlignment="1">
      <alignment horizontal="center"/>
    </xf>
    <xf numFmtId="10" fontId="10" fillId="2" borderId="34" xfId="0" applyNumberFormat="1" applyFont="1" applyFill="1" applyBorder="1" applyAlignment="1">
      <alignment horizontal="center" vertical="center"/>
    </xf>
    <xf numFmtId="2" fontId="10" fillId="2" borderId="52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 vertical="center"/>
    </xf>
    <xf numFmtId="2" fontId="10" fillId="2" borderId="32" xfId="0" applyNumberFormat="1" applyFont="1" applyFill="1" applyBorder="1" applyAlignment="1">
      <alignment horizontal="center"/>
    </xf>
    <xf numFmtId="10" fontId="10" fillId="2" borderId="53" xfId="0" applyNumberFormat="1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right"/>
    </xf>
    <xf numFmtId="10" fontId="13" fillId="6" borderId="1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 applyProtection="1">
      <protection locked="0"/>
    </xf>
    <xf numFmtId="0" fontId="10" fillId="2" borderId="7" xfId="0" applyFont="1" applyFill="1" applyBorder="1"/>
    <xf numFmtId="0" fontId="10" fillId="2" borderId="0" xfId="0" applyFont="1" applyFill="1"/>
    <xf numFmtId="0" fontId="10" fillId="2" borderId="7" xfId="0" applyFont="1" applyFill="1" applyBorder="1"/>
    <xf numFmtId="0" fontId="11" fillId="2" borderId="11" xfId="0" applyFont="1" applyFill="1" applyBorder="1" applyProtection="1">
      <protection locked="0"/>
    </xf>
    <xf numFmtId="0" fontId="11" fillId="2" borderId="11" xfId="0" applyFont="1" applyFill="1" applyBorder="1"/>
    <xf numFmtId="0" fontId="10" fillId="2" borderId="11" xfId="0" applyFont="1" applyFill="1" applyBorder="1"/>
    <xf numFmtId="166" fontId="11" fillId="2" borderId="0" xfId="0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4" fillId="2" borderId="0" xfId="1" applyFont="1" applyFill="1" applyAlignment="1">
      <alignment horizontal="left"/>
    </xf>
    <xf numFmtId="0" fontId="21" fillId="2" borderId="0" xfId="1" applyFill="1"/>
    <xf numFmtId="0" fontId="11" fillId="2" borderId="0" xfId="1" applyFont="1" applyFill="1" applyAlignment="1">
      <alignment vertical="center"/>
    </xf>
    <xf numFmtId="0" fontId="11" fillId="3" borderId="0" xfId="1" applyFont="1" applyFill="1" applyAlignment="1" applyProtection="1">
      <alignment vertical="center"/>
      <protection locked="0"/>
    </xf>
    <xf numFmtId="0" fontId="10" fillId="3" borderId="0" xfId="1" applyFont="1" applyFill="1" applyAlignment="1" applyProtection="1">
      <alignment horizontal="left" vertical="center"/>
      <protection locked="0"/>
    </xf>
    <xf numFmtId="0" fontId="10" fillId="2" borderId="0" xfId="1" applyFont="1" applyFill="1" applyAlignment="1" applyProtection="1">
      <alignment vertical="center"/>
      <protection locked="0"/>
    </xf>
    <xf numFmtId="0" fontId="10" fillId="3" borderId="0" xfId="1" applyFont="1" applyFill="1" applyAlignment="1" applyProtection="1">
      <alignment vertical="center"/>
      <protection locked="0"/>
    </xf>
    <xf numFmtId="0" fontId="10" fillId="3" borderId="0" xfId="1" applyFont="1" applyFill="1" applyProtection="1">
      <protection locked="0"/>
    </xf>
    <xf numFmtId="15" fontId="10" fillId="3" borderId="0" xfId="1" applyNumberFormat="1" applyFont="1" applyFill="1" applyAlignment="1" applyProtection="1">
      <alignment horizontal="left" vertical="center"/>
      <protection locked="0"/>
    </xf>
    <xf numFmtId="15" fontId="10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vertical="center" wrapText="1"/>
    </xf>
    <xf numFmtId="0" fontId="10" fillId="2" borderId="0" xfId="1" applyFont="1" applyFill="1"/>
    <xf numFmtId="0" fontId="6" fillId="2" borderId="0" xfId="1" applyFont="1" applyFill="1" applyAlignment="1" applyProtection="1">
      <alignment horizontal="left"/>
      <protection locked="0"/>
    </xf>
    <xf numFmtId="0" fontId="11" fillId="2" borderId="0" xfId="1" applyFont="1" applyFill="1" applyAlignment="1">
      <alignment horizontal="right"/>
    </xf>
    <xf numFmtId="2" fontId="13" fillId="3" borderId="0" xfId="1" applyNumberFormat="1" applyFont="1" applyFill="1" applyAlignment="1" applyProtection="1">
      <alignment horizontal="left"/>
      <protection locked="0"/>
    </xf>
    <xf numFmtId="2" fontId="13" fillId="3" borderId="0" xfId="1" applyNumberFormat="1" applyFont="1" applyFill="1" applyAlignment="1" applyProtection="1">
      <alignment horizontal="center"/>
      <protection locked="0"/>
    </xf>
    <xf numFmtId="0" fontId="10" fillId="2" borderId="35" xfId="1" applyFont="1" applyFill="1" applyBorder="1" applyAlignment="1">
      <alignment horizontal="right" vertical="center"/>
    </xf>
    <xf numFmtId="2" fontId="13" fillId="2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vertical="center" wrapText="1"/>
    </xf>
    <xf numFmtId="172" fontId="13" fillId="3" borderId="0" xfId="1" applyNumberFormat="1" applyFont="1" applyFill="1" applyAlignment="1" applyProtection="1">
      <alignment horizontal="center"/>
      <protection locked="0"/>
    </xf>
    <xf numFmtId="2" fontId="10" fillId="2" borderId="0" xfId="1" applyNumberFormat="1" applyFont="1" applyFill="1" applyAlignment="1">
      <alignment horizontal="right"/>
    </xf>
    <xf numFmtId="2" fontId="11" fillId="2" borderId="0" xfId="1" applyNumberFormat="1" applyFont="1" applyFill="1" applyAlignment="1" applyProtection="1">
      <alignment horizontal="center"/>
      <protection locked="0"/>
    </xf>
    <xf numFmtId="2" fontId="11" fillId="2" borderId="0" xfId="1" applyNumberFormat="1" applyFont="1" applyFill="1" applyAlignment="1">
      <alignment horizontal="centerContinuous"/>
    </xf>
    <xf numFmtId="2" fontId="11" fillId="2" borderId="31" xfId="1" applyNumberFormat="1" applyFont="1" applyFill="1" applyBorder="1" applyAlignment="1">
      <alignment horizontal="center" vertical="center"/>
    </xf>
    <xf numFmtId="2" fontId="11" fillId="2" borderId="10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/>
    </xf>
    <xf numFmtId="2" fontId="13" fillId="3" borderId="28" xfId="1" applyNumberFormat="1" applyFont="1" applyFill="1" applyBorder="1" applyAlignment="1" applyProtection="1">
      <alignment horizontal="center"/>
      <protection locked="0"/>
    </xf>
    <xf numFmtId="166" fontId="10" fillId="2" borderId="49" xfId="1" applyNumberFormat="1" applyFont="1" applyFill="1" applyBorder="1" applyAlignment="1">
      <alignment horizontal="center"/>
    </xf>
    <xf numFmtId="170" fontId="13" fillId="3" borderId="28" xfId="1" applyNumberFormat="1" applyFont="1" applyFill="1" applyBorder="1" applyAlignment="1" applyProtection="1">
      <alignment horizontal="center"/>
      <protection locked="0"/>
    </xf>
    <xf numFmtId="164" fontId="10" fillId="2" borderId="49" xfId="1" applyNumberFormat="1" applyFont="1" applyFill="1" applyBorder="1" applyAlignment="1">
      <alignment horizontal="center"/>
    </xf>
    <xf numFmtId="10" fontId="10" fillId="2" borderId="28" xfId="1" applyNumberFormat="1" applyFont="1" applyFill="1" applyBorder="1" applyAlignment="1">
      <alignment horizontal="center"/>
    </xf>
    <xf numFmtId="164" fontId="10" fillId="2" borderId="28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2" fontId="13" fillId="3" borderId="17" xfId="1" applyNumberFormat="1" applyFont="1" applyFill="1" applyBorder="1" applyAlignment="1" applyProtection="1">
      <alignment horizontal="center"/>
      <protection locked="0"/>
    </xf>
    <xf numFmtId="166" fontId="10" fillId="2" borderId="11" xfId="1" applyNumberFormat="1" applyFont="1" applyFill="1" applyBorder="1" applyAlignment="1">
      <alignment horizontal="center"/>
    </xf>
    <xf numFmtId="170" fontId="13" fillId="3" borderId="17" xfId="1" applyNumberFormat="1" applyFont="1" applyFill="1" applyBorder="1" applyAlignment="1" applyProtection="1">
      <alignment horizontal="center"/>
      <protection locked="0"/>
    </xf>
    <xf numFmtId="164" fontId="10" fillId="2" borderId="11" xfId="1" applyNumberFormat="1" applyFont="1" applyFill="1" applyBorder="1" applyAlignment="1">
      <alignment horizontal="center"/>
    </xf>
    <xf numFmtId="10" fontId="10" fillId="2" borderId="17" xfId="1" applyNumberFormat="1" applyFont="1" applyFill="1" applyBorder="1" applyAlignment="1">
      <alignment horizontal="center"/>
    </xf>
    <xf numFmtId="164" fontId="10" fillId="2" borderId="17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center"/>
    </xf>
    <xf numFmtId="2" fontId="13" fillId="3" borderId="18" xfId="1" applyNumberFormat="1" applyFont="1" applyFill="1" applyBorder="1" applyAlignment="1" applyProtection="1">
      <alignment horizontal="center"/>
      <protection locked="0"/>
    </xf>
    <xf numFmtId="166" fontId="10" fillId="2" borderId="55" xfId="1" applyNumberFormat="1" applyFont="1" applyFill="1" applyBorder="1" applyAlignment="1">
      <alignment horizontal="center"/>
    </xf>
    <xf numFmtId="170" fontId="13" fillId="3" borderId="18" xfId="1" applyNumberFormat="1" applyFont="1" applyFill="1" applyBorder="1" applyAlignment="1" applyProtection="1">
      <alignment horizontal="center"/>
      <protection locked="0"/>
    </xf>
    <xf numFmtId="164" fontId="10" fillId="2" borderId="55" xfId="1" applyNumberFormat="1" applyFont="1" applyFill="1" applyBorder="1" applyAlignment="1">
      <alignment horizontal="center"/>
    </xf>
    <xf numFmtId="10" fontId="10" fillId="2" borderId="18" xfId="1" applyNumberFormat="1" applyFont="1" applyFill="1" applyBorder="1" applyAlignment="1">
      <alignment horizontal="center"/>
    </xf>
    <xf numFmtId="164" fontId="10" fillId="2" borderId="18" xfId="1" applyNumberFormat="1" applyFont="1" applyFill="1" applyBorder="1" applyAlignment="1">
      <alignment horizontal="center"/>
    </xf>
    <xf numFmtId="0" fontId="10" fillId="2" borderId="20" xfId="1" applyFont="1" applyFill="1" applyBorder="1" applyAlignment="1">
      <alignment horizontal="right"/>
    </xf>
    <xf numFmtId="164" fontId="11" fillId="7" borderId="28" xfId="1" applyNumberFormat="1" applyFont="1" applyFill="1" applyBorder="1" applyAlignment="1">
      <alignment horizontal="center"/>
    </xf>
    <xf numFmtId="10" fontId="11" fillId="7" borderId="53" xfId="1" applyNumberFormat="1" applyFont="1" applyFill="1" applyBorder="1" applyAlignment="1">
      <alignment horizontal="center"/>
    </xf>
    <xf numFmtId="166" fontId="11" fillId="7" borderId="12" xfId="1" applyNumberFormat="1" applyFont="1" applyFill="1" applyBorder="1" applyAlignment="1">
      <alignment horizontal="center"/>
    </xf>
    <xf numFmtId="2" fontId="10" fillId="2" borderId="56" xfId="1" applyNumberFormat="1" applyFont="1" applyFill="1" applyBorder="1"/>
    <xf numFmtId="164" fontId="10" fillId="8" borderId="56" xfId="1" applyNumberFormat="1" applyFont="1" applyFill="1" applyBorder="1"/>
    <xf numFmtId="0" fontId="10" fillId="2" borderId="50" xfId="1" applyFont="1" applyFill="1" applyBorder="1" applyAlignment="1">
      <alignment horizontal="right"/>
    </xf>
    <xf numFmtId="10" fontId="10" fillId="6" borderId="17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0" fontId="10" fillId="2" borderId="24" xfId="1" applyFont="1" applyFill="1" applyBorder="1" applyAlignment="1">
      <alignment horizontal="right"/>
    </xf>
    <xf numFmtId="0" fontId="10" fillId="7" borderId="18" xfId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2" borderId="57" xfId="1" applyNumberFormat="1" applyFont="1" applyFill="1" applyBorder="1"/>
    <xf numFmtId="2" fontId="10" fillId="8" borderId="56" xfId="1" applyNumberFormat="1" applyFont="1" applyFill="1" applyBorder="1"/>
    <xf numFmtId="2" fontId="10" fillId="2" borderId="58" xfId="1" applyNumberFormat="1" applyFont="1" applyFill="1" applyBorder="1"/>
    <xf numFmtId="0" fontId="3" fillId="2" borderId="0" xfId="1" applyFont="1" applyFill="1" applyAlignment="1">
      <alignment vertical="center"/>
    </xf>
    <xf numFmtId="0" fontId="10" fillId="2" borderId="0" xfId="1" applyFont="1" applyFill="1" applyAlignment="1">
      <alignment horizontal="left" vertical="center"/>
    </xf>
    <xf numFmtId="0" fontId="11" fillId="2" borderId="0" xfId="1" applyFont="1" applyFill="1" applyAlignment="1" applyProtection="1">
      <alignment horizontal="center" vertical="center"/>
      <protection locked="0"/>
    </xf>
    <xf numFmtId="0" fontId="10" fillId="2" borderId="0" xfId="1" applyFont="1" applyFill="1" applyAlignment="1">
      <alignment horizontal="center" vertical="center"/>
    </xf>
    <xf numFmtId="173" fontId="13" fillId="3" borderId="0" xfId="1" applyNumberFormat="1" applyFont="1" applyFill="1" applyAlignment="1" applyProtection="1">
      <alignment horizontal="center"/>
      <protection locked="0"/>
    </xf>
    <xf numFmtId="171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 vertical="center"/>
      <protection locked="0"/>
    </xf>
    <xf numFmtId="174" fontId="13" fillId="3" borderId="0" xfId="1" applyNumberFormat="1" applyFont="1" applyFill="1" applyAlignment="1" applyProtection="1">
      <alignment horizontal="center"/>
      <protection locked="0"/>
    </xf>
    <xf numFmtId="2" fontId="11" fillId="2" borderId="0" xfId="1" applyNumberFormat="1" applyFont="1" applyFill="1" applyAlignment="1">
      <alignment vertical="center"/>
    </xf>
    <xf numFmtId="2" fontId="11" fillId="2" borderId="12" xfId="1" applyNumberFormat="1" applyFont="1" applyFill="1" applyBorder="1" applyAlignment="1">
      <alignment horizontal="center" vertical="center"/>
    </xf>
    <xf numFmtId="2" fontId="11" fillId="2" borderId="33" xfId="1" applyNumberFormat="1" applyFont="1" applyFill="1" applyBorder="1" applyAlignment="1">
      <alignment horizontal="center" vertical="center"/>
    </xf>
    <xf numFmtId="2" fontId="11" fillId="2" borderId="12" xfId="1" applyNumberFormat="1" applyFont="1" applyFill="1" applyBorder="1" applyAlignment="1">
      <alignment vertical="center"/>
    </xf>
    <xf numFmtId="2" fontId="11" fillId="2" borderId="0" xfId="1" applyNumberFormat="1" applyFont="1" applyFill="1" applyAlignment="1">
      <alignment horizontal="center" vertical="center"/>
    </xf>
    <xf numFmtId="0" fontId="10" fillId="2" borderId="20" xfId="1" applyFont="1" applyFill="1" applyBorder="1" applyAlignment="1">
      <alignment horizontal="center"/>
    </xf>
    <xf numFmtId="2" fontId="13" fillId="3" borderId="20" xfId="1" applyNumberFormat="1" applyFont="1" applyFill="1" applyBorder="1" applyAlignment="1" applyProtection="1">
      <alignment horizontal="center"/>
      <protection locked="0"/>
    </xf>
    <xf numFmtId="170" fontId="13" fillId="3" borderId="21" xfId="1" applyNumberFormat="1" applyFont="1" applyFill="1" applyBorder="1" applyAlignment="1" applyProtection="1">
      <alignment horizontal="center"/>
      <protection locked="0"/>
    </xf>
    <xf numFmtId="2" fontId="13" fillId="3" borderId="23" xfId="1" applyNumberFormat="1" applyFont="1" applyFill="1" applyBorder="1" applyAlignment="1" applyProtection="1">
      <alignment horizontal="center"/>
      <protection locked="0"/>
    </xf>
    <xf numFmtId="170" fontId="10" fillId="2" borderId="49" xfId="1" applyNumberFormat="1" applyFont="1" applyFill="1" applyBorder="1" applyAlignment="1">
      <alignment horizontal="center" vertical="center"/>
    </xf>
    <xf numFmtId="166" fontId="10" fillId="2" borderId="28" xfId="1" applyNumberFormat="1" applyFont="1" applyFill="1" applyBorder="1" applyAlignment="1">
      <alignment horizontal="center" vertical="center"/>
    </xf>
    <xf numFmtId="2" fontId="10" fillId="2" borderId="29" xfId="1" applyNumberFormat="1" applyFont="1" applyFill="1" applyBorder="1" applyAlignment="1">
      <alignment horizontal="center"/>
    </xf>
    <xf numFmtId="2" fontId="10" fillId="2" borderId="49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0" fillId="2" borderId="50" xfId="1" applyFont="1" applyFill="1" applyBorder="1" applyAlignment="1">
      <alignment horizontal="center"/>
    </xf>
    <xf numFmtId="2" fontId="13" fillId="3" borderId="50" xfId="1" applyNumberFormat="1" applyFont="1" applyFill="1" applyBorder="1" applyAlignment="1" applyProtection="1">
      <alignment horizontal="center"/>
      <protection locked="0"/>
    </xf>
    <xf numFmtId="170" fontId="13" fillId="3" borderId="37" xfId="1" applyNumberFormat="1" applyFont="1" applyFill="1" applyBorder="1" applyAlignment="1" applyProtection="1">
      <alignment horizontal="center"/>
      <protection locked="0"/>
    </xf>
    <xf numFmtId="2" fontId="13" fillId="3" borderId="59" xfId="1" applyNumberFormat="1" applyFont="1" applyFill="1" applyBorder="1" applyAlignment="1" applyProtection="1">
      <alignment horizontal="center"/>
      <protection locked="0"/>
    </xf>
    <xf numFmtId="170" fontId="10" fillId="2" borderId="11" xfId="1" applyNumberFormat="1" applyFont="1" applyFill="1" applyBorder="1" applyAlignment="1">
      <alignment horizontal="center" vertical="center"/>
    </xf>
    <xf numFmtId="166" fontId="10" fillId="2" borderId="17" xfId="1" applyNumberFormat="1" applyFont="1" applyFill="1" applyBorder="1" applyAlignment="1">
      <alignment horizontal="center" vertical="center"/>
    </xf>
    <xf numFmtId="2" fontId="10" fillId="2" borderId="16" xfId="1" applyNumberFormat="1" applyFont="1" applyFill="1" applyBorder="1" applyAlignment="1">
      <alignment horizontal="center"/>
    </xf>
    <xf numFmtId="2" fontId="10" fillId="2" borderId="11" xfId="1" applyNumberFormat="1" applyFont="1" applyFill="1" applyBorder="1" applyAlignment="1">
      <alignment horizontal="center"/>
    </xf>
    <xf numFmtId="0" fontId="10" fillId="2" borderId="24" xfId="1" applyFont="1" applyFill="1" applyBorder="1" applyAlignment="1">
      <alignment horizontal="center"/>
    </xf>
    <xf numFmtId="2" fontId="13" fillId="3" borderId="24" xfId="1" applyNumberFormat="1" applyFont="1" applyFill="1" applyBorder="1" applyAlignment="1" applyProtection="1">
      <alignment horizontal="center"/>
      <protection locked="0"/>
    </xf>
    <xf numFmtId="170" fontId="13" fillId="3" borderId="25" xfId="1" applyNumberFormat="1" applyFont="1" applyFill="1" applyBorder="1" applyAlignment="1" applyProtection="1">
      <alignment horizontal="center"/>
      <protection locked="0"/>
    </xf>
    <xf numFmtId="2" fontId="13" fillId="3" borderId="27" xfId="1" applyNumberFormat="1" applyFont="1" applyFill="1" applyBorder="1" applyAlignment="1" applyProtection="1">
      <alignment horizontal="center"/>
      <protection locked="0"/>
    </xf>
    <xf numFmtId="0" fontId="10" fillId="2" borderId="55" xfId="1" applyFont="1" applyFill="1" applyBorder="1" applyAlignment="1">
      <alignment horizontal="center" vertical="center"/>
    </xf>
    <xf numFmtId="166" fontId="10" fillId="2" borderId="18" xfId="1" applyNumberFormat="1" applyFont="1" applyFill="1" applyBorder="1" applyAlignment="1">
      <alignment horizontal="center" vertical="center"/>
    </xf>
    <xf numFmtId="2" fontId="10" fillId="2" borderId="19" xfId="1" applyNumberFormat="1" applyFont="1" applyFill="1" applyBorder="1" applyAlignment="1">
      <alignment horizontal="center"/>
    </xf>
    <xf numFmtId="2" fontId="10" fillId="2" borderId="55" xfId="1" applyNumberFormat="1" applyFont="1" applyFill="1" applyBorder="1" applyAlignment="1">
      <alignment horizontal="center"/>
    </xf>
    <xf numFmtId="0" fontId="10" fillId="2" borderId="44" xfId="1" applyFont="1" applyFill="1" applyBorder="1" applyAlignment="1">
      <alignment horizontal="right"/>
    </xf>
    <xf numFmtId="166" fontId="11" fillId="7" borderId="14" xfId="1" applyNumberFormat="1" applyFont="1" applyFill="1" applyBorder="1" applyAlignment="1">
      <alignment horizontal="center"/>
    </xf>
    <xf numFmtId="2" fontId="13" fillId="7" borderId="14" xfId="1" applyNumberFormat="1" applyFont="1" applyFill="1" applyBorder="1" applyAlignment="1">
      <alignment horizontal="center"/>
    </xf>
    <xf numFmtId="2" fontId="13" fillId="7" borderId="44" xfId="1" applyNumberFormat="1" applyFont="1" applyFill="1" applyBorder="1" applyAlignment="1">
      <alignment horizontal="center"/>
    </xf>
    <xf numFmtId="10" fontId="13" fillId="7" borderId="14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10" fontId="12" fillId="2" borderId="17" xfId="1" applyNumberFormat="1" applyFont="1" applyFill="1" applyBorder="1" applyAlignment="1">
      <alignment horizontal="center"/>
    </xf>
    <xf numFmtId="10" fontId="12" fillId="6" borderId="50" xfId="1" applyNumberFormat="1" applyFont="1" applyFill="1" applyBorder="1" applyAlignment="1">
      <alignment horizontal="center"/>
    </xf>
    <xf numFmtId="10" fontId="12" fillId="6" borderId="17" xfId="1" applyNumberFormat="1" applyFont="1" applyFill="1" applyBorder="1" applyAlignment="1">
      <alignment horizontal="center"/>
    </xf>
    <xf numFmtId="10" fontId="12" fillId="2" borderId="0" xfId="1" applyNumberFormat="1" applyFont="1" applyFill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2" fillId="7" borderId="24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vertical="center"/>
    </xf>
    <xf numFmtId="0" fontId="11" fillId="2" borderId="10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right" vertical="center"/>
    </xf>
    <xf numFmtId="0" fontId="10" fillId="2" borderId="7" xfId="1" applyFont="1" applyFill="1" applyBorder="1" applyAlignment="1" applyProtection="1">
      <alignment vertical="center"/>
      <protection locked="0"/>
    </xf>
    <xf numFmtId="0" fontId="10" fillId="2" borderId="7" xfId="1" applyFont="1" applyFill="1" applyBorder="1" applyAlignment="1">
      <alignment vertical="center"/>
    </xf>
    <xf numFmtId="0" fontId="11" fillId="2" borderId="11" xfId="1" applyFont="1" applyFill="1" applyBorder="1" applyAlignment="1" applyProtection="1">
      <alignment vertical="center"/>
      <protection locked="0"/>
    </xf>
    <xf numFmtId="0" fontId="11" fillId="2" borderId="11" xfId="1" applyFont="1" applyFill="1" applyBorder="1" applyAlignment="1">
      <alignment vertical="center"/>
    </xf>
    <xf numFmtId="0" fontId="10" fillId="2" borderId="11" xfId="1" applyFont="1" applyFill="1" applyBorder="1" applyAlignment="1">
      <alignment vertical="center"/>
    </xf>
    <xf numFmtId="2" fontId="10" fillId="2" borderId="0" xfId="1" applyNumberFormat="1" applyFont="1" applyFill="1" applyAlignment="1">
      <alignment horizontal="center" vertical="center"/>
    </xf>
    <xf numFmtId="0" fontId="1" fillId="2" borderId="0" xfId="5" applyFont="1" applyFill="1"/>
    <xf numFmtId="0" fontId="3" fillId="2" borderId="0" xfId="5" applyFont="1" applyFill="1" applyAlignment="1">
      <alignment horizontal="center"/>
    </xf>
    <xf numFmtId="0" fontId="11" fillId="2" borderId="0" xfId="5" applyFont="1" applyFill="1" applyAlignment="1">
      <alignment vertical="center"/>
    </xf>
    <xf numFmtId="0" fontId="13" fillId="3" borderId="0" xfId="5" applyFont="1" applyFill="1" applyAlignment="1" applyProtection="1">
      <alignment vertical="center"/>
      <protection locked="0"/>
    </xf>
    <xf numFmtId="0" fontId="11" fillId="3" borderId="0" xfId="5" applyFont="1" applyFill="1" applyAlignment="1" applyProtection="1">
      <alignment vertical="center"/>
      <protection locked="0"/>
    </xf>
    <xf numFmtId="0" fontId="12" fillId="3" borderId="0" xfId="5" applyFont="1" applyFill="1" applyAlignment="1" applyProtection="1">
      <alignment horizontal="left" vertical="center"/>
      <protection locked="0"/>
    </xf>
    <xf numFmtId="0" fontId="10" fillId="2" borderId="0" xfId="5" applyFont="1" applyFill="1" applyAlignment="1">
      <alignment vertical="center"/>
    </xf>
    <xf numFmtId="15" fontId="12" fillId="3" borderId="0" xfId="5" applyNumberFormat="1" applyFont="1" applyFill="1" applyAlignment="1" applyProtection="1">
      <alignment horizontal="left" vertical="center"/>
      <protection locked="0"/>
    </xf>
    <xf numFmtId="15" fontId="10" fillId="2" borderId="0" xfId="5" applyNumberFormat="1" applyFont="1" applyFill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right" vertical="center"/>
    </xf>
    <xf numFmtId="175" fontId="13" fillId="3" borderId="0" xfId="5" applyNumberFormat="1" applyFont="1" applyFill="1" applyAlignment="1" applyProtection="1">
      <alignment horizontal="left"/>
      <protection locked="0"/>
    </xf>
    <xf numFmtId="2" fontId="13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horizontal="right"/>
    </xf>
    <xf numFmtId="2" fontId="13" fillId="3" borderId="0" xfId="5" applyNumberFormat="1" applyFont="1" applyFill="1" applyAlignment="1" applyProtection="1">
      <alignment horizontal="left"/>
      <protection locked="0"/>
    </xf>
    <xf numFmtId="0" fontId="10" fillId="2" borderId="0" xfId="5" applyFont="1" applyFill="1"/>
    <xf numFmtId="0" fontId="10" fillId="2" borderId="35" xfId="5" applyFont="1" applyFill="1" applyBorder="1" applyAlignment="1">
      <alignment horizontal="right" vertical="center"/>
    </xf>
    <xf numFmtId="2" fontId="13" fillId="2" borderId="0" xfId="5" applyNumberFormat="1" applyFont="1" applyFill="1" applyAlignment="1" applyProtection="1">
      <alignment horizontal="center"/>
      <protection locked="0"/>
    </xf>
    <xf numFmtId="0" fontId="16" fillId="2" borderId="0" xfId="5" applyFont="1" applyFill="1" applyAlignment="1">
      <alignment vertical="center" wrapText="1"/>
    </xf>
    <xf numFmtId="0" fontId="10" fillId="2" borderId="0" xfId="5" applyFont="1" applyFill="1" applyAlignment="1">
      <alignment horizontal="right" vertical="center"/>
    </xf>
    <xf numFmtId="172" fontId="13" fillId="3" borderId="0" xfId="5" applyNumberFormat="1" applyFont="1" applyFill="1" applyAlignment="1" applyProtection="1">
      <alignment horizontal="center"/>
      <protection locked="0"/>
    </xf>
    <xf numFmtId="2" fontId="10" fillId="2" borderId="0" xfId="5" applyNumberFormat="1" applyFont="1" applyFill="1" applyAlignment="1">
      <alignment horizontal="right"/>
    </xf>
    <xf numFmtId="2" fontId="11" fillId="2" borderId="0" xfId="5" applyNumberFormat="1" applyFont="1" applyFill="1" applyAlignment="1">
      <alignment horizontal="centerContinuous"/>
    </xf>
    <xf numFmtId="0" fontId="11" fillId="2" borderId="0" xfId="5" applyFont="1" applyFill="1" applyAlignment="1">
      <alignment horizontal="center" vertical="center"/>
    </xf>
    <xf numFmtId="2" fontId="11" fillId="2" borderId="31" xfId="5" applyNumberFormat="1" applyFont="1" applyFill="1" applyBorder="1" applyAlignment="1">
      <alignment horizontal="center" vertical="center"/>
    </xf>
    <xf numFmtId="2" fontId="11" fillId="2" borderId="10" xfId="5" applyNumberFormat="1" applyFont="1" applyFill="1" applyBorder="1" applyAlignment="1">
      <alignment horizontal="center" vertical="center"/>
    </xf>
    <xf numFmtId="2" fontId="11" fillId="2" borderId="34" xfId="5" applyNumberFormat="1" applyFont="1" applyFill="1" applyBorder="1" applyAlignment="1">
      <alignment horizontal="center" vertical="center"/>
    </xf>
    <xf numFmtId="0" fontId="10" fillId="2" borderId="28" xfId="5" applyFont="1" applyFill="1" applyBorder="1" applyAlignment="1">
      <alignment horizontal="center"/>
    </xf>
    <xf numFmtId="2" fontId="13" fillId="3" borderId="20" xfId="5" applyNumberFormat="1" applyFont="1" applyFill="1" applyBorder="1" applyAlignment="1" applyProtection="1">
      <alignment horizontal="center"/>
      <protection locked="0"/>
    </xf>
    <xf numFmtId="166" fontId="10" fillId="2" borderId="28" xfId="5" applyNumberFormat="1" applyFont="1" applyFill="1" applyBorder="1" applyAlignment="1">
      <alignment horizontal="center"/>
    </xf>
    <xf numFmtId="2" fontId="13" fillId="3" borderId="29" xfId="5" applyNumberFormat="1" applyFont="1" applyFill="1" applyBorder="1" applyAlignment="1" applyProtection="1">
      <alignment horizontal="center"/>
      <protection locked="0"/>
    </xf>
    <xf numFmtId="164" fontId="10" fillId="2" borderId="49" xfId="5" applyNumberFormat="1" applyFont="1" applyFill="1" applyBorder="1" applyAlignment="1">
      <alignment horizontal="center"/>
    </xf>
    <xf numFmtId="10" fontId="10" fillId="2" borderId="20" xfId="5" applyNumberFormat="1" applyFont="1" applyFill="1" applyBorder="1" applyAlignment="1">
      <alignment horizontal="center"/>
    </xf>
    <xf numFmtId="164" fontId="10" fillId="2" borderId="28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center"/>
    </xf>
    <xf numFmtId="2" fontId="13" fillId="3" borderId="50" xfId="5" applyNumberFormat="1" applyFont="1" applyFill="1" applyBorder="1" applyAlignment="1" applyProtection="1">
      <alignment horizontal="center"/>
      <protection locked="0"/>
    </xf>
    <xf numFmtId="166" fontId="10" fillId="2" borderId="17" xfId="5" applyNumberFormat="1" applyFont="1" applyFill="1" applyBorder="1" applyAlignment="1">
      <alignment horizontal="center"/>
    </xf>
    <xf numFmtId="2" fontId="13" fillId="3" borderId="16" xfId="5" applyNumberFormat="1" applyFont="1" applyFill="1" applyBorder="1" applyAlignment="1" applyProtection="1">
      <alignment horizontal="center"/>
      <protection locked="0"/>
    </xf>
    <xf numFmtId="164" fontId="10" fillId="2" borderId="11" xfId="5" applyNumberFormat="1" applyFont="1" applyFill="1" applyBorder="1" applyAlignment="1">
      <alignment horizontal="center"/>
    </xf>
    <xf numFmtId="10" fontId="10" fillId="2" borderId="50" xfId="5" applyNumberFormat="1" applyFont="1" applyFill="1" applyBorder="1" applyAlignment="1">
      <alignment horizontal="center"/>
    </xf>
    <xf numFmtId="164" fontId="10" fillId="2" borderId="17" xfId="5" applyNumberFormat="1" applyFont="1" applyFill="1" applyBorder="1" applyAlignment="1">
      <alignment horizontal="center"/>
    </xf>
    <xf numFmtId="0" fontId="10" fillId="2" borderId="18" xfId="5" applyFont="1" applyFill="1" applyBorder="1" applyAlignment="1">
      <alignment horizontal="center"/>
    </xf>
    <xf numFmtId="2" fontId="13" fillId="3" borderId="24" xfId="5" applyNumberFormat="1" applyFont="1" applyFill="1" applyBorder="1" applyAlignment="1" applyProtection="1">
      <alignment horizontal="center"/>
      <protection locked="0"/>
    </xf>
    <xf numFmtId="166" fontId="10" fillId="2" borderId="18" xfId="5" applyNumberFormat="1" applyFont="1" applyFill="1" applyBorder="1" applyAlignment="1">
      <alignment horizontal="center"/>
    </xf>
    <xf numFmtId="2" fontId="13" fillId="3" borderId="19" xfId="5" applyNumberFormat="1" applyFont="1" applyFill="1" applyBorder="1" applyAlignment="1" applyProtection="1">
      <alignment horizontal="center"/>
      <protection locked="0"/>
    </xf>
    <xf numFmtId="164" fontId="10" fillId="2" borderId="55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/>
    </xf>
    <xf numFmtId="164" fontId="10" fillId="2" borderId="18" xfId="5" applyNumberFormat="1" applyFont="1" applyFill="1" applyBorder="1" applyAlignment="1">
      <alignment horizontal="center"/>
    </xf>
    <xf numFmtId="0" fontId="10" fillId="2" borderId="20" xfId="5" applyFont="1" applyFill="1" applyBorder="1" applyAlignment="1">
      <alignment horizontal="right"/>
    </xf>
    <xf numFmtId="164" fontId="11" fillId="7" borderId="28" xfId="5" applyNumberFormat="1" applyFont="1" applyFill="1" applyBorder="1" applyAlignment="1">
      <alignment horizontal="center"/>
    </xf>
    <xf numFmtId="10" fontId="11" fillId="7" borderId="53" xfId="5" applyNumberFormat="1" applyFont="1" applyFill="1" applyBorder="1" applyAlignment="1">
      <alignment horizontal="center"/>
    </xf>
    <xf numFmtId="166" fontId="11" fillId="7" borderId="32" xfId="5" applyNumberFormat="1" applyFont="1" applyFill="1" applyBorder="1" applyAlignment="1">
      <alignment horizontal="center"/>
    </xf>
    <xf numFmtId="2" fontId="10" fillId="2" borderId="56" xfId="5" applyNumberFormat="1" applyFont="1" applyFill="1" applyBorder="1"/>
    <xf numFmtId="164" fontId="10" fillId="8" borderId="56" xfId="5" applyNumberFormat="1" applyFont="1" applyFill="1" applyBorder="1"/>
    <xf numFmtId="0" fontId="10" fillId="2" borderId="50" xfId="5" applyFont="1" applyFill="1" applyBorder="1" applyAlignment="1">
      <alignment horizontal="right"/>
    </xf>
    <xf numFmtId="10" fontId="10" fillId="6" borderId="17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0" fontId="10" fillId="2" borderId="24" xfId="5" applyFont="1" applyFill="1" applyBorder="1" applyAlignment="1">
      <alignment horizontal="right"/>
    </xf>
    <xf numFmtId="0" fontId="10" fillId="7" borderId="18" xfId="5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0" fontId="3" fillId="2" borderId="0" xfId="5" applyFont="1" applyFill="1" applyAlignment="1">
      <alignment vertical="center"/>
    </xf>
    <xf numFmtId="168" fontId="11" fillId="3" borderId="0" xfId="5" applyNumberFormat="1" applyFont="1" applyFill="1" applyAlignment="1" applyProtection="1">
      <alignment horizontal="center" vertical="center"/>
      <protection locked="0"/>
    </xf>
    <xf numFmtId="0" fontId="10" fillId="2" borderId="0" xfId="5" applyFont="1" applyFill="1" applyAlignment="1">
      <alignment horizontal="center" vertical="center"/>
    </xf>
    <xf numFmtId="2" fontId="10" fillId="2" borderId="0" xfId="5" applyNumberFormat="1" applyFont="1" applyFill="1" applyAlignment="1">
      <alignment horizontal="center"/>
    </xf>
    <xf numFmtId="2" fontId="11" fillId="2" borderId="0" xfId="5" applyNumberFormat="1" applyFont="1" applyFill="1" applyAlignment="1">
      <alignment vertical="center"/>
    </xf>
    <xf numFmtId="2" fontId="11" fillId="2" borderId="12" xfId="5" applyNumberFormat="1" applyFont="1" applyFill="1" applyBorder="1" applyAlignment="1">
      <alignment horizontal="center" vertical="center"/>
    </xf>
    <xf numFmtId="2" fontId="11" fillId="2" borderId="33" xfId="5" applyNumberFormat="1" applyFont="1" applyFill="1" applyBorder="1" applyAlignment="1">
      <alignment horizontal="center" vertical="center"/>
    </xf>
    <xf numFmtId="2" fontId="11" fillId="2" borderId="31" xfId="5" applyNumberFormat="1" applyFont="1" applyFill="1" applyBorder="1" applyAlignment="1">
      <alignment vertical="center"/>
    </xf>
    <xf numFmtId="2" fontId="11" fillId="2" borderId="0" xfId="5" applyNumberFormat="1" applyFont="1" applyFill="1" applyAlignment="1">
      <alignment horizontal="center" vertical="center"/>
    </xf>
    <xf numFmtId="0" fontId="10" fillId="2" borderId="20" xfId="5" applyFont="1" applyFill="1" applyBorder="1" applyAlignment="1">
      <alignment horizontal="center"/>
    </xf>
    <xf numFmtId="2" fontId="13" fillId="3" borderId="28" xfId="5" applyNumberFormat="1" applyFont="1" applyFill="1" applyBorder="1" applyAlignment="1" applyProtection="1">
      <alignment horizontal="center"/>
      <protection locked="0"/>
    </xf>
    <xf numFmtId="2" fontId="10" fillId="2" borderId="49" xfId="5" applyNumberFormat="1" applyFont="1" applyFill="1" applyBorder="1" applyAlignment="1">
      <alignment horizontal="center" vertical="center"/>
    </xf>
    <xf numFmtId="166" fontId="10" fillId="2" borderId="28" xfId="5" applyNumberFormat="1" applyFont="1" applyFill="1" applyBorder="1" applyAlignment="1">
      <alignment horizontal="center" vertical="center"/>
    </xf>
    <xf numFmtId="2" fontId="10" fillId="2" borderId="49" xfId="5" applyNumberFormat="1" applyFont="1" applyFill="1" applyBorder="1" applyAlignment="1">
      <alignment horizontal="center"/>
    </xf>
    <xf numFmtId="2" fontId="10" fillId="2" borderId="20" xfId="5" applyNumberFormat="1" applyFont="1" applyFill="1" applyBorder="1" applyAlignment="1">
      <alignment horizontal="center"/>
    </xf>
    <xf numFmtId="10" fontId="10" fillId="2" borderId="28" xfId="5" applyNumberFormat="1" applyFont="1" applyFill="1" applyBorder="1" applyAlignment="1">
      <alignment horizontal="center"/>
    </xf>
    <xf numFmtId="0" fontId="10" fillId="2" borderId="50" xfId="5" applyFont="1" applyFill="1" applyBorder="1" applyAlignment="1">
      <alignment horizontal="center"/>
    </xf>
    <xf numFmtId="2" fontId="13" fillId="3" borderId="17" xfId="5" applyNumberFormat="1" applyFont="1" applyFill="1" applyBorder="1" applyAlignment="1" applyProtection="1">
      <alignment horizontal="center"/>
      <protection locked="0"/>
    </xf>
    <xf numFmtId="2" fontId="10" fillId="2" borderId="11" xfId="5" applyNumberFormat="1" applyFont="1" applyFill="1" applyBorder="1" applyAlignment="1">
      <alignment horizontal="center" vertical="center"/>
    </xf>
    <xf numFmtId="166" fontId="10" fillId="2" borderId="17" xfId="5" applyNumberFormat="1" applyFont="1" applyFill="1" applyBorder="1" applyAlignment="1">
      <alignment horizontal="center" vertical="center"/>
    </xf>
    <xf numFmtId="2" fontId="10" fillId="2" borderId="11" xfId="5" applyNumberFormat="1" applyFont="1" applyFill="1" applyBorder="1" applyAlignment="1">
      <alignment horizontal="center"/>
    </xf>
    <xf numFmtId="2" fontId="10" fillId="2" borderId="50" xfId="5" applyNumberFormat="1" applyFont="1" applyFill="1" applyBorder="1" applyAlignment="1">
      <alignment horizontal="center"/>
    </xf>
    <xf numFmtId="10" fontId="10" fillId="2" borderId="17" xfId="5" applyNumberFormat="1" applyFont="1" applyFill="1" applyBorder="1" applyAlignment="1">
      <alignment horizontal="center"/>
    </xf>
    <xf numFmtId="0" fontId="10" fillId="2" borderId="24" xfId="5" applyFont="1" applyFill="1" applyBorder="1" applyAlignment="1">
      <alignment horizontal="center"/>
    </xf>
    <xf numFmtId="2" fontId="13" fillId="3" borderId="18" xfId="5" applyNumberFormat="1" applyFont="1" applyFill="1" applyBorder="1" applyAlignment="1" applyProtection="1">
      <alignment horizontal="center"/>
      <protection locked="0"/>
    </xf>
    <xf numFmtId="0" fontId="10" fillId="2" borderId="55" xfId="5" applyFont="1" applyFill="1" applyBorder="1" applyAlignment="1">
      <alignment horizontal="center" vertical="center"/>
    </xf>
    <xf numFmtId="166" fontId="10" fillId="2" borderId="18" xfId="5" applyNumberFormat="1" applyFont="1" applyFill="1" applyBorder="1" applyAlignment="1">
      <alignment horizontal="center" vertical="center"/>
    </xf>
    <xf numFmtId="2" fontId="10" fillId="2" borderId="55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0" fontId="10" fillId="2" borderId="18" xfId="5" applyNumberFormat="1" applyFont="1" applyFill="1" applyBorder="1" applyAlignment="1">
      <alignment horizontal="center"/>
    </xf>
    <xf numFmtId="0" fontId="10" fillId="2" borderId="44" xfId="5" applyFont="1" applyFill="1" applyBorder="1" applyAlignment="1">
      <alignment horizontal="right"/>
    </xf>
    <xf numFmtId="166" fontId="11" fillId="7" borderId="14" xfId="5" applyNumberFormat="1" applyFont="1" applyFill="1" applyBorder="1" applyAlignment="1">
      <alignment horizontal="center"/>
    </xf>
    <xf numFmtId="2" fontId="13" fillId="7" borderId="14" xfId="5" applyNumberFormat="1" applyFont="1" applyFill="1" applyBorder="1" applyAlignment="1">
      <alignment horizontal="center"/>
    </xf>
    <xf numFmtId="10" fontId="13" fillId="7" borderId="14" xfId="5" applyNumberFormat="1" applyFont="1" applyFill="1" applyBorder="1" applyAlignment="1">
      <alignment horizontal="center"/>
    </xf>
    <xf numFmtId="2" fontId="13" fillId="2" borderId="0" xfId="5" applyNumberFormat="1" applyFont="1" applyFill="1" applyAlignment="1">
      <alignment horizontal="center"/>
    </xf>
    <xf numFmtId="10" fontId="12" fillId="2" borderId="17" xfId="5" applyNumberFormat="1" applyFont="1" applyFill="1" applyBorder="1" applyAlignment="1">
      <alignment horizontal="center"/>
    </xf>
    <xf numFmtId="10" fontId="12" fillId="6" borderId="17" xfId="5" applyNumberFormat="1" applyFont="1" applyFill="1" applyBorder="1" applyAlignment="1">
      <alignment horizontal="center"/>
    </xf>
    <xf numFmtId="10" fontId="12" fillId="2" borderId="0" xfId="5" applyNumberFormat="1" applyFont="1" applyFill="1" applyAlignment="1">
      <alignment horizontal="center"/>
    </xf>
    <xf numFmtId="0" fontId="12" fillId="7" borderId="18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6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 applyAlignment="1">
      <alignment vertical="center"/>
    </xf>
    <xf numFmtId="0" fontId="11" fillId="2" borderId="10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10" fillId="2" borderId="7" xfId="5" applyFont="1" applyFill="1" applyBorder="1" applyAlignment="1" applyProtection="1">
      <alignment vertical="center"/>
      <protection locked="0"/>
    </xf>
    <xf numFmtId="0" fontId="10" fillId="2" borderId="7" xfId="5" applyFont="1" applyFill="1" applyBorder="1" applyAlignment="1">
      <alignment vertical="center"/>
    </xf>
    <xf numFmtId="0" fontId="11" fillId="2" borderId="11" xfId="5" applyFont="1" applyFill="1" applyBorder="1" applyAlignment="1" applyProtection="1">
      <alignment vertical="center"/>
      <protection locked="0"/>
    </xf>
    <xf numFmtId="0" fontId="11" fillId="2" borderId="11" xfId="5" applyFont="1" applyFill="1" applyBorder="1" applyAlignment="1">
      <alignment vertical="center"/>
    </xf>
    <xf numFmtId="0" fontId="10" fillId="2" borderId="11" xfId="5" applyFont="1" applyFill="1" applyBorder="1" applyAlignment="1">
      <alignment vertical="center"/>
    </xf>
    <xf numFmtId="2" fontId="10" fillId="2" borderId="0" xfId="5" applyNumberFormat="1" applyFont="1" applyFill="1" applyAlignment="1">
      <alignment horizontal="center" vertical="center"/>
    </xf>
    <xf numFmtId="0" fontId="21" fillId="2" borderId="0" xfId="5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2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1" fillId="2" borderId="51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left" vertical="center" wrapText="1"/>
    </xf>
    <xf numFmtId="0" fontId="16" fillId="2" borderId="34" xfId="0" applyFont="1" applyFill="1" applyBorder="1" applyAlignment="1">
      <alignment horizontal="lef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2" borderId="5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54" xfId="0" applyFont="1" applyFill="1" applyBorder="1" applyAlignment="1">
      <alignment horizontal="center"/>
    </xf>
    <xf numFmtId="0" fontId="16" fillId="2" borderId="3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30" xfId="0" applyFont="1" applyFill="1" applyBorder="1" applyAlignment="1">
      <alignment horizontal="justify" vertical="center" wrapText="1"/>
    </xf>
    <xf numFmtId="0" fontId="16" fillId="2" borderId="13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30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54" xfId="1" applyFont="1" applyFill="1" applyBorder="1" applyAlignment="1">
      <alignment horizontal="center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13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2" fontId="11" fillId="2" borderId="54" xfId="1" applyNumberFormat="1" applyFont="1" applyFill="1" applyBorder="1" applyAlignment="1">
      <alignment horizontal="center" vertical="center"/>
    </xf>
    <xf numFmtId="2" fontId="11" fillId="2" borderId="13" xfId="1" applyNumberFormat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54" xfId="5" applyFont="1" applyFill="1" applyBorder="1" applyAlignment="1">
      <alignment horizontal="center" vertical="center"/>
    </xf>
    <xf numFmtId="0" fontId="16" fillId="2" borderId="30" xfId="5" applyFont="1" applyFill="1" applyBorder="1" applyAlignment="1">
      <alignment horizontal="center" vertical="center"/>
    </xf>
    <xf numFmtId="0" fontId="16" fillId="2" borderId="13" xfId="5" applyFont="1" applyFill="1" applyBorder="1" applyAlignment="1">
      <alignment horizontal="center" vertical="center"/>
    </xf>
    <xf numFmtId="0" fontId="3" fillId="2" borderId="10" xfId="5" applyFont="1" applyFill="1" applyBorder="1" applyAlignment="1">
      <alignment horizontal="center" vertical="center"/>
    </xf>
    <xf numFmtId="2" fontId="11" fillId="2" borderId="54" xfId="5" applyNumberFormat="1" applyFont="1" applyFill="1" applyBorder="1" applyAlignment="1">
      <alignment horizontal="center" vertical="center"/>
    </xf>
    <xf numFmtId="2" fontId="11" fillId="2" borderId="13" xfId="5" applyNumberFormat="1" applyFont="1" applyFill="1" applyBorder="1" applyAlignment="1">
      <alignment horizontal="center" vertical="center"/>
    </xf>
    <xf numFmtId="0" fontId="11" fillId="2" borderId="10" xfId="5" applyFont="1" applyFill="1" applyBorder="1" applyAlignment="1">
      <alignment horizontal="center" vertical="center"/>
    </xf>
  </cellXfs>
  <cellStyles count="7">
    <cellStyle name="Normal" xfId="0" builtinId="0"/>
    <cellStyle name="Normal 2" xfId="2"/>
    <cellStyle name="Normal 2 2" xfId="3"/>
    <cellStyle name="Normal 3" xfId="4"/>
    <cellStyle name="Normal 4" xfId="1"/>
    <cellStyle name="Normal 5" xfId="5"/>
    <cellStyle name="Normal 6" xfId="6"/>
  </cellStyles>
  <dxfs count="2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TTO/Analysis%202017/Dec/NDQB20170917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</sheetNames>
    <sheetDataSet>
      <sheetData sheetId="0" refreshError="1"/>
      <sheetData sheetId="1">
        <row r="46">
          <cell r="C46" t="str">
            <v>% Deviation from mean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8" sqref="C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42.54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</f>
        <v>4.2539999999999996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12485143</v>
      </c>
      <c r="C24" s="18">
        <v>7618.2</v>
      </c>
      <c r="D24" s="19">
        <v>1.1000000000000001</v>
      </c>
      <c r="E24" s="20">
        <v>11.5</v>
      </c>
    </row>
    <row r="25" spans="1:6" ht="16.5" customHeight="1" x14ac:dyDescent="0.3">
      <c r="A25" s="17">
        <v>2</v>
      </c>
      <c r="B25" s="18">
        <v>12575348</v>
      </c>
      <c r="C25" s="18">
        <v>7747.1</v>
      </c>
      <c r="D25" s="19">
        <v>1.1000000000000001</v>
      </c>
      <c r="E25" s="19">
        <v>11.5</v>
      </c>
    </row>
    <row r="26" spans="1:6" ht="16.5" customHeight="1" x14ac:dyDescent="0.3">
      <c r="A26" s="17">
        <v>3</v>
      </c>
      <c r="B26" s="18">
        <v>12529493</v>
      </c>
      <c r="C26" s="18">
        <v>7669.5</v>
      </c>
      <c r="D26" s="19">
        <v>1.1000000000000001</v>
      </c>
      <c r="E26" s="19">
        <v>11.5</v>
      </c>
    </row>
    <row r="27" spans="1:6" ht="16.5" customHeight="1" x14ac:dyDescent="0.3">
      <c r="A27" s="17">
        <v>4</v>
      </c>
      <c r="B27" s="18">
        <v>12600569</v>
      </c>
      <c r="C27" s="18">
        <v>7657.8</v>
      </c>
      <c r="D27" s="19">
        <v>1.1000000000000001</v>
      </c>
      <c r="E27" s="19">
        <v>11.5</v>
      </c>
    </row>
    <row r="28" spans="1:6" ht="16.5" customHeight="1" x14ac:dyDescent="0.3">
      <c r="A28" s="17">
        <v>5</v>
      </c>
      <c r="B28" s="18">
        <v>12528346</v>
      </c>
      <c r="C28" s="18">
        <v>7645.9</v>
      </c>
      <c r="D28" s="19">
        <v>1.1000000000000001</v>
      </c>
      <c r="E28" s="19">
        <v>11.5</v>
      </c>
    </row>
    <row r="29" spans="1:6" ht="16.5" customHeight="1" x14ac:dyDescent="0.3">
      <c r="A29" s="17">
        <v>6</v>
      </c>
      <c r="B29" s="21">
        <v>12576516</v>
      </c>
      <c r="C29" s="21">
        <v>7574.8</v>
      </c>
      <c r="D29" s="22">
        <v>1.2</v>
      </c>
      <c r="E29" s="22">
        <v>11.5</v>
      </c>
    </row>
    <row r="30" spans="1:6" ht="16.5" customHeight="1" x14ac:dyDescent="0.3">
      <c r="A30" s="23" t="s">
        <v>18</v>
      </c>
      <c r="B30" s="24">
        <f>AVERAGE(B24:B29)</f>
        <v>12549235.833333334</v>
      </c>
      <c r="C30" s="25">
        <f>AVERAGE(C24:C29)</f>
        <v>7652.2166666666672</v>
      </c>
      <c r="D30" s="26">
        <f>AVERAGE(D24:D29)</f>
        <v>1.1166666666666667</v>
      </c>
      <c r="E30" s="26">
        <f>AVERAGE(E24:E29)</f>
        <v>11.5</v>
      </c>
    </row>
    <row r="31" spans="1:6" ht="16.5" customHeight="1" x14ac:dyDescent="0.3">
      <c r="A31" s="27" t="s">
        <v>19</v>
      </c>
      <c r="B31" s="28">
        <f>(STDEV(B24:B29)/B30)</f>
        <v>3.3798948732576416E-3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G28" sqref="G28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57"/>
      <c r="B1" s="58"/>
      <c r="C1" s="57"/>
      <c r="D1" s="59"/>
      <c r="E1" s="60"/>
      <c r="F1" s="58"/>
      <c r="G1" s="60"/>
      <c r="H1" s="52"/>
      <c r="I1" s="53"/>
      <c r="J1" s="52"/>
      <c r="K1" s="55"/>
      <c r="L1" s="52"/>
      <c r="M1" s="53"/>
      <c r="N1" s="52"/>
      <c r="O1" s="53"/>
    </row>
    <row r="2" spans="1:15" ht="15" x14ac:dyDescent="0.3">
      <c r="A2" s="57"/>
      <c r="B2" s="58"/>
      <c r="C2" s="57"/>
      <c r="D2" s="59"/>
      <c r="E2" s="61"/>
      <c r="F2" s="58"/>
      <c r="G2" s="61"/>
      <c r="H2" s="54"/>
      <c r="I2" s="53"/>
      <c r="J2" s="54"/>
      <c r="K2" s="55"/>
      <c r="L2" s="54"/>
      <c r="M2" s="55"/>
      <c r="N2" s="54"/>
      <c r="O2" s="55"/>
    </row>
    <row r="3" spans="1:15" ht="15" x14ac:dyDescent="0.3">
      <c r="A3" s="57"/>
      <c r="B3" s="58"/>
      <c r="C3" s="57"/>
      <c r="D3" s="59"/>
      <c r="E3" s="61"/>
      <c r="F3" s="58"/>
      <c r="G3" s="61"/>
      <c r="H3" s="54"/>
      <c r="I3" s="53"/>
      <c r="J3" s="54"/>
      <c r="K3" s="55"/>
      <c r="L3" s="54"/>
      <c r="M3" s="55"/>
      <c r="N3" s="54"/>
      <c r="O3" s="55"/>
    </row>
    <row r="4" spans="1:15" ht="15" x14ac:dyDescent="0.3">
      <c r="A4" s="57"/>
      <c r="B4" s="58"/>
      <c r="C4" s="57"/>
      <c r="D4" s="59"/>
      <c r="E4" s="61"/>
      <c r="F4" s="58"/>
      <c r="G4" s="61"/>
      <c r="H4" s="54"/>
      <c r="I4" s="53"/>
      <c r="J4" s="54"/>
      <c r="K4" s="55"/>
      <c r="L4" s="54"/>
      <c r="M4" s="55"/>
      <c r="N4" s="54"/>
      <c r="O4" s="55"/>
    </row>
    <row r="5" spans="1:15" ht="15" x14ac:dyDescent="0.3">
      <c r="A5" s="57"/>
      <c r="B5" s="58"/>
      <c r="C5" s="57"/>
      <c r="D5" s="59"/>
      <c r="E5" s="61"/>
      <c r="F5" s="58"/>
      <c r="G5" s="61"/>
      <c r="H5" s="54"/>
      <c r="I5" s="53"/>
      <c r="J5" s="54"/>
      <c r="K5" s="55"/>
      <c r="L5" s="54"/>
      <c r="M5" s="55"/>
      <c r="N5" s="54"/>
      <c r="O5" s="55"/>
    </row>
    <row r="6" spans="1:15" ht="15" x14ac:dyDescent="0.3">
      <c r="A6" s="57"/>
      <c r="B6" s="58"/>
      <c r="C6" s="57"/>
      <c r="D6" s="59"/>
      <c r="E6" s="61"/>
      <c r="F6" s="58"/>
      <c r="G6" s="61"/>
      <c r="H6" s="54"/>
      <c r="I6" s="53"/>
      <c r="J6" s="54"/>
      <c r="K6" s="55"/>
      <c r="L6" s="54"/>
      <c r="M6" s="55"/>
      <c r="N6" s="54"/>
      <c r="O6" s="55"/>
    </row>
    <row r="7" spans="1:15" ht="15" x14ac:dyDescent="0.3">
      <c r="A7" s="57"/>
      <c r="B7" s="58"/>
      <c r="C7" s="57"/>
      <c r="D7" s="59"/>
      <c r="E7" s="61"/>
      <c r="F7" s="58"/>
      <c r="G7" s="61"/>
      <c r="H7" s="54"/>
      <c r="I7" s="53"/>
      <c r="J7" s="54"/>
      <c r="K7" s="55"/>
      <c r="L7" s="54"/>
      <c r="M7" s="55"/>
      <c r="N7" s="54"/>
      <c r="O7" s="55"/>
    </row>
    <row r="8" spans="1:15" ht="19.5" customHeight="1" x14ac:dyDescent="0.3">
      <c r="A8" s="471" t="s">
        <v>31</v>
      </c>
      <c r="B8" s="471"/>
      <c r="C8" s="471"/>
      <c r="D8" s="471"/>
      <c r="E8" s="471"/>
      <c r="F8" s="471"/>
      <c r="G8" s="471"/>
      <c r="H8" s="54"/>
      <c r="I8" s="53"/>
      <c r="J8" s="54"/>
      <c r="K8" s="55"/>
      <c r="L8" s="54"/>
      <c r="M8" s="55"/>
      <c r="N8" s="54"/>
      <c r="O8" s="55"/>
    </row>
    <row r="9" spans="1:15" ht="19.5" customHeight="1" x14ac:dyDescent="0.3">
      <c r="A9" s="62"/>
      <c r="B9" s="62"/>
      <c r="C9" s="62"/>
      <c r="D9" s="62"/>
      <c r="E9" s="62"/>
      <c r="F9" s="62"/>
      <c r="G9" s="62"/>
      <c r="H9" s="54"/>
      <c r="I9" s="53"/>
      <c r="J9" s="54"/>
      <c r="K9" s="55"/>
      <c r="L9" s="54"/>
      <c r="M9" s="55"/>
      <c r="N9" s="54"/>
      <c r="O9" s="55"/>
    </row>
    <row r="10" spans="1:15" ht="16.5" customHeight="1" x14ac:dyDescent="0.3">
      <c r="A10" s="472" t="s">
        <v>32</v>
      </c>
      <c r="B10" s="472"/>
      <c r="C10" s="472"/>
      <c r="D10" s="472"/>
      <c r="E10" s="472"/>
      <c r="F10" s="472"/>
      <c r="G10" s="472"/>
      <c r="H10" s="54"/>
      <c r="I10" s="53"/>
      <c r="J10" s="54"/>
      <c r="K10" s="55"/>
      <c r="L10" s="54"/>
      <c r="M10" s="55"/>
      <c r="N10" s="54"/>
      <c r="O10" s="55"/>
    </row>
    <row r="11" spans="1:15" ht="15" customHeight="1" x14ac:dyDescent="0.3">
      <c r="A11" s="466" t="s">
        <v>33</v>
      </c>
      <c r="B11" s="466"/>
      <c r="C11" s="63" t="s">
        <v>5</v>
      </c>
      <c r="E11" s="54"/>
      <c r="F11" s="53"/>
      <c r="G11" s="54"/>
      <c r="H11" s="54"/>
      <c r="I11" s="53"/>
      <c r="J11" s="54"/>
      <c r="K11" s="55"/>
      <c r="L11" s="54"/>
      <c r="M11" s="55"/>
      <c r="N11" s="54"/>
      <c r="O11" s="55"/>
    </row>
    <row r="12" spans="1:15" ht="15" customHeight="1" x14ac:dyDescent="0.3">
      <c r="A12" s="466" t="s">
        <v>34</v>
      </c>
      <c r="B12" s="466"/>
      <c r="C12" s="63" t="s">
        <v>7</v>
      </c>
      <c r="E12" s="54"/>
      <c r="F12" s="53"/>
      <c r="G12" s="54"/>
      <c r="H12" s="54"/>
      <c r="I12" s="53"/>
      <c r="J12" s="54"/>
      <c r="K12" s="55"/>
      <c r="L12" s="54"/>
      <c r="M12" s="55"/>
      <c r="N12" s="54"/>
      <c r="O12" s="55"/>
    </row>
    <row r="13" spans="1:15" ht="15" customHeight="1" x14ac:dyDescent="0.3">
      <c r="A13" s="466" t="s">
        <v>35</v>
      </c>
      <c r="B13" s="466"/>
      <c r="C13" s="63" t="s">
        <v>9</v>
      </c>
      <c r="E13" s="54"/>
      <c r="F13" s="53"/>
      <c r="G13" s="54"/>
      <c r="H13" s="54"/>
      <c r="I13" s="53"/>
      <c r="J13" s="54"/>
      <c r="K13" s="55"/>
      <c r="L13" s="54"/>
      <c r="M13" s="55"/>
      <c r="N13" s="54"/>
      <c r="O13" s="55"/>
    </row>
    <row r="14" spans="1:15" ht="15" customHeight="1" x14ac:dyDescent="0.3">
      <c r="A14" s="466" t="s">
        <v>36</v>
      </c>
      <c r="B14" s="466"/>
      <c r="C14" s="470" t="s">
        <v>11</v>
      </c>
      <c r="D14" s="470"/>
      <c r="E14" s="470"/>
      <c r="F14" s="470"/>
      <c r="G14" s="470"/>
      <c r="H14" s="54"/>
      <c r="I14" s="53"/>
      <c r="J14" s="54"/>
      <c r="K14" s="55"/>
      <c r="L14" s="54"/>
      <c r="M14" s="55"/>
      <c r="N14" s="54"/>
      <c r="O14" s="55"/>
    </row>
    <row r="15" spans="1:15" ht="15" customHeight="1" x14ac:dyDescent="0.3">
      <c r="A15" s="466" t="s">
        <v>37</v>
      </c>
      <c r="B15" s="466"/>
      <c r="C15" s="64" t="s">
        <v>12</v>
      </c>
      <c r="D15" s="63"/>
      <c r="E15" s="54"/>
      <c r="F15" s="53"/>
      <c r="G15" s="54"/>
      <c r="H15" s="54"/>
      <c r="I15" s="53"/>
      <c r="J15" s="54"/>
      <c r="K15" s="55"/>
      <c r="L15" s="54"/>
      <c r="M15" s="55"/>
      <c r="N15" s="54"/>
      <c r="O15" s="55"/>
    </row>
    <row r="16" spans="1:15" ht="15" customHeight="1" x14ac:dyDescent="0.3">
      <c r="A16" s="466" t="s">
        <v>38</v>
      </c>
      <c r="B16" s="466"/>
      <c r="C16" s="64" t="s">
        <v>39</v>
      </c>
      <c r="D16" s="63"/>
      <c r="E16" s="54"/>
      <c r="F16" s="53"/>
      <c r="G16" s="54"/>
      <c r="H16" s="54"/>
      <c r="I16" s="53"/>
      <c r="J16" s="54"/>
      <c r="K16" s="55"/>
      <c r="L16" s="54"/>
      <c r="M16" s="55"/>
      <c r="N16" s="54"/>
      <c r="O16" s="55"/>
    </row>
    <row r="17" spans="1:15" x14ac:dyDescent="0.3">
      <c r="B17" s="63"/>
      <c r="D17" s="63"/>
      <c r="E17" s="54"/>
      <c r="F17" s="53"/>
      <c r="G17" s="54"/>
      <c r="H17" s="54"/>
      <c r="I17" s="53"/>
      <c r="J17" s="54"/>
      <c r="K17" s="55"/>
      <c r="L17" s="54"/>
      <c r="M17" s="55"/>
      <c r="N17" s="54"/>
      <c r="O17" s="55"/>
    </row>
    <row r="18" spans="1:15" ht="15" customHeight="1" x14ac:dyDescent="0.3">
      <c r="A18" s="467" t="s">
        <v>1</v>
      </c>
      <c r="B18" s="467"/>
      <c r="C18" s="65" t="s">
        <v>40</v>
      </c>
      <c r="D18" s="63"/>
      <c r="E18" s="54"/>
      <c r="F18" s="53"/>
      <c r="G18" s="54"/>
      <c r="H18" s="54"/>
      <c r="I18" s="53"/>
      <c r="J18" s="54"/>
      <c r="K18" s="55"/>
      <c r="L18" s="54"/>
      <c r="M18" s="55"/>
      <c r="N18" s="54"/>
      <c r="O18" s="55"/>
    </row>
    <row r="19" spans="1:15" ht="15.75" customHeight="1" x14ac:dyDescent="0.3">
      <c r="A19" s="66"/>
      <c r="B19" s="63"/>
      <c r="D19" s="63"/>
      <c r="E19" s="54"/>
      <c r="F19" s="53"/>
      <c r="G19" s="54"/>
      <c r="H19" s="54"/>
      <c r="I19" s="53"/>
      <c r="J19" s="54"/>
      <c r="K19" s="55"/>
      <c r="L19" s="54"/>
      <c r="M19" s="55"/>
      <c r="N19" s="54"/>
      <c r="O19" s="55"/>
    </row>
    <row r="20" spans="1:15" ht="15.75" customHeight="1" x14ac:dyDescent="0.3">
      <c r="A20" s="67" t="s">
        <v>41</v>
      </c>
      <c r="B20" s="68" t="s">
        <v>42</v>
      </c>
      <c r="C20" s="69" t="s">
        <v>43</v>
      </c>
      <c r="D20" s="67" t="s">
        <v>44</v>
      </c>
      <c r="E20" s="70" t="s">
        <v>45</v>
      </c>
      <c r="G20" s="54"/>
      <c r="H20" s="56"/>
      <c r="I20" s="53"/>
      <c r="J20" s="54"/>
      <c r="K20" s="55"/>
      <c r="L20" s="56"/>
      <c r="M20" s="55"/>
      <c r="N20" s="56"/>
      <c r="O20" s="55"/>
    </row>
    <row r="21" spans="1:15" ht="15" x14ac:dyDescent="0.3">
      <c r="A21" s="71">
        <v>1</v>
      </c>
      <c r="B21" s="72">
        <v>10492.04</v>
      </c>
      <c r="C21" s="73">
        <v>10431.9</v>
      </c>
      <c r="D21" s="74">
        <f t="shared" ref="D21:D30" si="0">B21-C21</f>
        <v>60.140000000001237</v>
      </c>
      <c r="E21" s="75">
        <f t="shared" ref="E21:E30" si="1">(D21-$D$33)/$D$33</f>
        <v>2.9336254407305189E-2</v>
      </c>
      <c r="G21" s="54"/>
      <c r="H21" s="56"/>
      <c r="I21" s="53"/>
      <c r="J21" s="54"/>
      <c r="K21" s="55"/>
      <c r="L21" s="56"/>
      <c r="M21" s="55"/>
      <c r="N21" s="56"/>
      <c r="O21" s="55"/>
    </row>
    <row r="22" spans="1:15" ht="15" x14ac:dyDescent="0.3">
      <c r="A22" s="76">
        <v>2</v>
      </c>
      <c r="B22" s="77">
        <v>10527.7</v>
      </c>
      <c r="C22" s="78">
        <v>10467.39</v>
      </c>
      <c r="D22" s="79">
        <f t="shared" si="0"/>
        <v>60.31000000000131</v>
      </c>
      <c r="E22" s="75">
        <f t="shared" si="1"/>
        <v>3.2245917913279798E-2</v>
      </c>
      <c r="G22" s="54"/>
      <c r="H22" s="56"/>
      <c r="I22" s="53"/>
      <c r="J22" s="54"/>
      <c r="K22" s="55"/>
      <c r="L22" s="56"/>
      <c r="M22" s="55"/>
      <c r="N22" s="56"/>
      <c r="O22" s="55"/>
    </row>
    <row r="23" spans="1:15" ht="15" x14ac:dyDescent="0.3">
      <c r="A23" s="76">
        <v>3</v>
      </c>
      <c r="B23" s="77">
        <v>10522.66</v>
      </c>
      <c r="C23" s="78">
        <v>10463.48</v>
      </c>
      <c r="D23" s="79">
        <f t="shared" si="0"/>
        <v>59.180000000000291</v>
      </c>
      <c r="E23" s="75">
        <f t="shared" si="1"/>
        <v>1.2905213432380575E-2</v>
      </c>
      <c r="G23" s="54"/>
      <c r="H23" s="56"/>
      <c r="I23" s="53"/>
      <c r="J23" s="54"/>
      <c r="K23" s="55"/>
      <c r="L23" s="56"/>
      <c r="M23" s="55"/>
      <c r="N23" s="56"/>
      <c r="O23" s="55"/>
    </row>
    <row r="24" spans="1:15" ht="15" x14ac:dyDescent="0.3">
      <c r="A24" s="76">
        <v>4</v>
      </c>
      <c r="B24" s="77">
        <v>10308.709999999999</v>
      </c>
      <c r="C24" s="78">
        <v>10251.52</v>
      </c>
      <c r="D24" s="79">
        <f t="shared" si="0"/>
        <v>57.18999999999869</v>
      </c>
      <c r="E24" s="75">
        <f t="shared" si="1"/>
        <v>-2.1154965255217411E-2</v>
      </c>
      <c r="G24" s="54"/>
      <c r="H24" s="56"/>
      <c r="I24" s="53"/>
      <c r="J24" s="54"/>
      <c r="K24" s="55"/>
      <c r="L24" s="56"/>
      <c r="M24" s="55"/>
      <c r="N24" s="56"/>
      <c r="O24" s="55"/>
    </row>
    <row r="25" spans="1:15" ht="15" x14ac:dyDescent="0.3">
      <c r="A25" s="76">
        <v>5</v>
      </c>
      <c r="B25" s="77">
        <v>10365.84</v>
      </c>
      <c r="C25" s="78">
        <v>10309.49</v>
      </c>
      <c r="D25" s="79">
        <f t="shared" si="0"/>
        <v>56.350000000000364</v>
      </c>
      <c r="E25" s="75">
        <f t="shared" si="1"/>
        <v>-3.5532126108233641E-2</v>
      </c>
      <c r="G25" s="54"/>
      <c r="H25" s="56"/>
      <c r="I25" s="53"/>
      <c r="J25" s="54"/>
      <c r="K25" s="55"/>
      <c r="L25" s="56"/>
      <c r="M25" s="55"/>
      <c r="N25" s="56"/>
      <c r="O25" s="55"/>
    </row>
    <row r="26" spans="1:15" ht="15" x14ac:dyDescent="0.3">
      <c r="A26" s="76">
        <v>6</v>
      </c>
      <c r="B26" s="77">
        <v>10505.83</v>
      </c>
      <c r="C26" s="78">
        <v>10444.9</v>
      </c>
      <c r="D26" s="79">
        <f t="shared" si="0"/>
        <v>60.930000000000291</v>
      </c>
      <c r="E26" s="75">
        <f t="shared" si="1"/>
        <v>4.2857631876224059E-2</v>
      </c>
      <c r="G26" s="54"/>
      <c r="H26" s="56"/>
      <c r="I26" s="53"/>
      <c r="J26" s="54"/>
      <c r="K26" s="55"/>
      <c r="L26" s="56"/>
      <c r="M26" s="55"/>
      <c r="N26" s="56"/>
      <c r="O26" s="55"/>
    </row>
    <row r="27" spans="1:15" ht="15" x14ac:dyDescent="0.3">
      <c r="A27" s="76">
        <v>7</v>
      </c>
      <c r="B27" s="77">
        <v>10319.129999999999</v>
      </c>
      <c r="C27" s="78">
        <v>10263.44</v>
      </c>
      <c r="D27" s="79">
        <f t="shared" si="0"/>
        <v>55.68999999999869</v>
      </c>
      <c r="E27" s="75">
        <f t="shared" si="1"/>
        <v>-4.6828466778511824E-2</v>
      </c>
      <c r="G27" s="54"/>
      <c r="H27" s="56"/>
      <c r="I27" s="53"/>
      <c r="J27" s="54"/>
      <c r="K27" s="55"/>
      <c r="L27" s="56"/>
      <c r="M27" s="55"/>
      <c r="N27" s="56"/>
      <c r="O27" s="55"/>
    </row>
    <row r="28" spans="1:15" ht="15" x14ac:dyDescent="0.3">
      <c r="A28" s="76">
        <v>8</v>
      </c>
      <c r="B28" s="77">
        <v>10380.65</v>
      </c>
      <c r="C28" s="78">
        <v>10322.780000000001</v>
      </c>
      <c r="D28" s="79">
        <f t="shared" si="0"/>
        <v>57.869999999998981</v>
      </c>
      <c r="E28" s="75">
        <f t="shared" si="1"/>
        <v>-9.5163112313189618E-3</v>
      </c>
      <c r="G28" s="54"/>
      <c r="H28" s="56"/>
      <c r="I28" s="53"/>
      <c r="J28" s="54"/>
      <c r="K28" s="55"/>
      <c r="L28" s="56"/>
      <c r="M28" s="55"/>
      <c r="N28" s="56"/>
      <c r="O28" s="55"/>
    </row>
    <row r="29" spans="1:15" ht="15" x14ac:dyDescent="0.3">
      <c r="A29" s="76">
        <v>9</v>
      </c>
      <c r="B29" s="77">
        <v>10421.290000000001</v>
      </c>
      <c r="C29" s="78">
        <v>10363.56</v>
      </c>
      <c r="D29" s="79">
        <f t="shared" si="0"/>
        <v>57.730000000001382</v>
      </c>
      <c r="E29" s="75">
        <f t="shared" si="1"/>
        <v>-1.1912504706785345E-2</v>
      </c>
      <c r="G29" s="54"/>
      <c r="H29" s="56"/>
      <c r="I29" s="53"/>
      <c r="J29" s="54"/>
      <c r="K29" s="55"/>
      <c r="L29" s="56"/>
      <c r="M29" s="55"/>
      <c r="N29" s="56"/>
      <c r="O29" s="55"/>
    </row>
    <row r="30" spans="1:15" ht="15" x14ac:dyDescent="0.3">
      <c r="A30" s="76">
        <v>10</v>
      </c>
      <c r="B30" s="80">
        <v>10558.72</v>
      </c>
      <c r="C30" s="78">
        <v>10499.85</v>
      </c>
      <c r="D30" s="79">
        <f t="shared" si="0"/>
        <v>58.869999999998981</v>
      </c>
      <c r="E30" s="75">
        <f t="shared" si="1"/>
        <v>7.5993564508773136E-3</v>
      </c>
      <c r="G30" s="54"/>
      <c r="H30" s="56"/>
      <c r="I30" s="53"/>
      <c r="J30" s="54"/>
      <c r="K30" s="55"/>
      <c r="L30" s="56"/>
      <c r="M30" s="55"/>
      <c r="N30" s="56"/>
      <c r="O30" s="55"/>
    </row>
    <row r="31" spans="1:15" ht="14.25" customHeight="1" thickBot="1" x14ac:dyDescent="0.35">
      <c r="B31" s="63"/>
      <c r="D31" s="55"/>
      <c r="G31" s="54"/>
    </row>
    <row r="32" spans="1:15" x14ac:dyDescent="0.3">
      <c r="A32" s="81" t="s">
        <v>46</v>
      </c>
      <c r="B32" s="82">
        <f>SUM(B21:B30)</f>
        <v>104402.57</v>
      </c>
      <c r="C32" s="83">
        <f>SUM(C21:C30)</f>
        <v>103818.31</v>
      </c>
      <c r="D32" s="84">
        <f>SUM(D21:D30)</f>
        <v>584.26000000000022</v>
      </c>
    </row>
    <row r="33" spans="1:7" ht="15.75" customHeight="1" x14ac:dyDescent="0.3">
      <c r="A33" s="85" t="s">
        <v>47</v>
      </c>
      <c r="B33" s="86">
        <f>AVERAGE(B21:B30)</f>
        <v>10440.257000000001</v>
      </c>
      <c r="C33" s="87">
        <f>AVERAGE(C21:C30)</f>
        <v>10381.831</v>
      </c>
      <c r="D33" s="88">
        <f>AVERAGE(D21:D30)</f>
        <v>58.426000000000023</v>
      </c>
    </row>
    <row r="34" spans="1:7" x14ac:dyDescent="0.3">
      <c r="A34" s="57"/>
      <c r="B34" s="89"/>
      <c r="C34" s="89"/>
      <c r="D34" s="63"/>
    </row>
    <row r="35" spans="1:7" ht="14.25" customHeight="1" x14ac:dyDescent="0.3">
      <c r="A35" s="57"/>
      <c r="B35" s="57"/>
      <c r="C35" s="57"/>
      <c r="D35" s="63"/>
    </row>
    <row r="36" spans="1:7" ht="30.75" customHeight="1" x14ac:dyDescent="0.3">
      <c r="B36" s="90" t="s">
        <v>47</v>
      </c>
      <c r="C36" s="91" t="s">
        <v>48</v>
      </c>
    </row>
    <row r="37" spans="1:7" ht="15.75" customHeight="1" x14ac:dyDescent="0.3">
      <c r="B37" s="468">
        <f>D33</f>
        <v>58.426000000000023</v>
      </c>
      <c r="C37" s="92">
        <f>-(IF(D33&gt;300, 7.5%, 10%))</f>
        <v>-0.1</v>
      </c>
      <c r="D37" s="93">
        <f>IF(D33&lt;300, D33*0.9, D33*0.925)</f>
        <v>52.583400000000019</v>
      </c>
    </row>
    <row r="38" spans="1:7" ht="15.75" customHeight="1" x14ac:dyDescent="0.3">
      <c r="B38" s="469"/>
      <c r="C38" s="94">
        <f>+(IF(D33&gt;300, 7.5%, 10%))</f>
        <v>0.1</v>
      </c>
      <c r="D38" s="93">
        <f>IF(D33&lt;300, D33*1.1, D33*1.075)</f>
        <v>64.268600000000035</v>
      </c>
    </row>
    <row r="39" spans="1:7" ht="14.25" customHeight="1" x14ac:dyDescent="0.3">
      <c r="A39" s="95"/>
      <c r="D39" s="96"/>
    </row>
    <row r="40" spans="1:7" ht="15" customHeight="1" x14ac:dyDescent="0.3">
      <c r="B40" s="465" t="s">
        <v>26</v>
      </c>
      <c r="C40" s="465"/>
      <c r="D40" s="63"/>
      <c r="E40" s="97" t="s">
        <v>27</v>
      </c>
      <c r="F40" s="98"/>
      <c r="G40" s="97" t="s">
        <v>28</v>
      </c>
    </row>
    <row r="41" spans="1:7" ht="15" customHeight="1" x14ac:dyDescent="0.3">
      <c r="A41" s="99" t="s">
        <v>29</v>
      </c>
      <c r="B41" s="100"/>
      <c r="C41" s="100"/>
      <c r="D41" s="63"/>
      <c r="E41" s="100"/>
      <c r="F41" s="57"/>
      <c r="G41" s="101"/>
    </row>
    <row r="42" spans="1:7" ht="15" customHeight="1" x14ac:dyDescent="0.3">
      <c r="A42" s="99" t="s">
        <v>30</v>
      </c>
      <c r="B42" s="102"/>
      <c r="C42" s="102"/>
      <c r="D42" s="63"/>
      <c r="E42" s="102"/>
      <c r="F42" s="57"/>
      <c r="G42" s="103"/>
    </row>
  </sheetData>
  <sheetProtection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37:B38"/>
    <mergeCell ref="B40:C40"/>
  </mergeCells>
  <conditionalFormatting sqref="E21">
    <cfRule type="cellIs" dxfId="25" priority="1" operator="notBetween">
      <formula>IF(+$D$33&lt;300, -10.5%, -7.5%)</formula>
      <formula>IF(+$D$33&lt;300, 10.5%, 7.5%)</formula>
    </cfRule>
  </conditionalFormatting>
  <conditionalFormatting sqref="E22">
    <cfRule type="cellIs" dxfId="24" priority="2" operator="notBetween">
      <formula>IF(+$D$33&lt;300, -10.5%, -7.5%)</formula>
      <formula>IF(+$D$33&lt;300, 10.5%, 7.5%)</formula>
    </cfRule>
  </conditionalFormatting>
  <conditionalFormatting sqref="E23">
    <cfRule type="cellIs" dxfId="23" priority="3" operator="notBetween">
      <formula>IF(+$D$33&lt;300, -10.5%, -7.5%)</formula>
      <formula>IF(+$D$33&lt;300, 10.5%, 7.5%)</formula>
    </cfRule>
  </conditionalFormatting>
  <conditionalFormatting sqref="E24">
    <cfRule type="cellIs" dxfId="22" priority="4" operator="notBetween">
      <formula>IF(+$D$33&lt;300, -10.5%, -7.5%)</formula>
      <formula>IF(+$D$33&lt;300, 10.5%, 7.5%)</formula>
    </cfRule>
  </conditionalFormatting>
  <conditionalFormatting sqref="E25">
    <cfRule type="cellIs" dxfId="21" priority="5" operator="notBetween">
      <formula>IF(+$D$33&lt;300, -10.5%, -7.5%)</formula>
      <formula>IF(+$D$33&lt;300, 10.5%, 7.5%)</formula>
    </cfRule>
  </conditionalFormatting>
  <conditionalFormatting sqref="E26">
    <cfRule type="cellIs" dxfId="20" priority="6" operator="notBetween">
      <formula>IF(+$D$33&lt;300, -10.5%, -7.5%)</formula>
      <formula>IF(+$D$33&lt;300, 10.5%, 7.5%)</formula>
    </cfRule>
  </conditionalFormatting>
  <conditionalFormatting sqref="E27">
    <cfRule type="cellIs" dxfId="19" priority="7" operator="notBetween">
      <formula>IF(+$D$33&lt;300, -10.5%, -7.5%)</formula>
      <formula>IF(+$D$33&lt;300, 10.5%, 7.5%)</formula>
    </cfRule>
  </conditionalFormatting>
  <conditionalFormatting sqref="E28">
    <cfRule type="cellIs" dxfId="18" priority="8" operator="notBetween">
      <formula>IF(+$D$33&lt;300, -10.5%, -7.5%)</formula>
      <formula>IF(+$D$33&lt;300, 10.5%, 7.5%)</formula>
    </cfRule>
  </conditionalFormatting>
  <conditionalFormatting sqref="E29">
    <cfRule type="cellIs" dxfId="17" priority="9" operator="notBetween">
      <formula>IF(+$D$33&lt;300, -10.5%, -7.5%)</formula>
      <formula>IF(+$D$33&lt;300, 10.5%, 7.5%)</formula>
    </cfRule>
  </conditionalFormatting>
  <conditionalFormatting sqref="E30">
    <cfRule type="cellIs" dxfId="16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76" zoomScale="60" zoomScaleNormal="78" workbookViewId="0">
      <selection activeCell="C48" sqref="C48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486" t="s">
        <v>49</v>
      </c>
      <c r="B1" s="486"/>
      <c r="C1" s="486"/>
      <c r="D1" s="486"/>
      <c r="E1" s="486"/>
      <c r="F1" s="486"/>
      <c r="G1" s="486"/>
      <c r="H1" s="486"/>
    </row>
    <row r="2" spans="1:8" x14ac:dyDescent="0.2">
      <c r="A2" s="486"/>
      <c r="B2" s="486"/>
      <c r="C2" s="486"/>
      <c r="D2" s="486"/>
      <c r="E2" s="486"/>
      <c r="F2" s="486"/>
      <c r="G2" s="486"/>
      <c r="H2" s="486"/>
    </row>
    <row r="3" spans="1:8" x14ac:dyDescent="0.2">
      <c r="A3" s="486"/>
      <c r="B3" s="486"/>
      <c r="C3" s="486"/>
      <c r="D3" s="486"/>
      <c r="E3" s="486"/>
      <c r="F3" s="486"/>
      <c r="G3" s="486"/>
      <c r="H3" s="486"/>
    </row>
    <row r="4" spans="1:8" x14ac:dyDescent="0.2">
      <c r="A4" s="486"/>
      <c r="B4" s="486"/>
      <c r="C4" s="486"/>
      <c r="D4" s="486"/>
      <c r="E4" s="486"/>
      <c r="F4" s="486"/>
      <c r="G4" s="486"/>
      <c r="H4" s="486"/>
    </row>
    <row r="5" spans="1:8" x14ac:dyDescent="0.2">
      <c r="A5" s="486"/>
      <c r="B5" s="486"/>
      <c r="C5" s="486"/>
      <c r="D5" s="486"/>
      <c r="E5" s="486"/>
      <c r="F5" s="486"/>
      <c r="G5" s="486"/>
      <c r="H5" s="486"/>
    </row>
    <row r="6" spans="1:8" x14ac:dyDescent="0.2">
      <c r="A6" s="486"/>
      <c r="B6" s="486"/>
      <c r="C6" s="486"/>
      <c r="D6" s="486"/>
      <c r="E6" s="486"/>
      <c r="F6" s="486"/>
      <c r="G6" s="486"/>
      <c r="H6" s="486"/>
    </row>
    <row r="7" spans="1:8" x14ac:dyDescent="0.2">
      <c r="A7" s="486"/>
      <c r="B7" s="486"/>
      <c r="C7" s="486"/>
      <c r="D7" s="486"/>
      <c r="E7" s="486"/>
      <c r="F7" s="486"/>
      <c r="G7" s="486"/>
      <c r="H7" s="486"/>
    </row>
    <row r="8" spans="1:8" x14ac:dyDescent="0.2">
      <c r="A8" s="487" t="s">
        <v>50</v>
      </c>
      <c r="B8" s="487"/>
      <c r="C8" s="487"/>
      <c r="D8" s="487"/>
      <c r="E8" s="487"/>
      <c r="F8" s="487"/>
      <c r="G8" s="487"/>
      <c r="H8" s="487"/>
    </row>
    <row r="9" spans="1:8" x14ac:dyDescent="0.2">
      <c r="A9" s="487"/>
      <c r="B9" s="487"/>
      <c r="C9" s="487"/>
      <c r="D9" s="487"/>
      <c r="E9" s="487"/>
      <c r="F9" s="487"/>
      <c r="G9" s="487"/>
      <c r="H9" s="487"/>
    </row>
    <row r="10" spans="1:8" x14ac:dyDescent="0.2">
      <c r="A10" s="487"/>
      <c r="B10" s="487"/>
      <c r="C10" s="487"/>
      <c r="D10" s="487"/>
      <c r="E10" s="487"/>
      <c r="F10" s="487"/>
      <c r="G10" s="487"/>
      <c r="H10" s="487"/>
    </row>
    <row r="11" spans="1:8" x14ac:dyDescent="0.2">
      <c r="A11" s="487"/>
      <c r="B11" s="487"/>
      <c r="C11" s="487"/>
      <c r="D11" s="487"/>
      <c r="E11" s="487"/>
      <c r="F11" s="487"/>
      <c r="G11" s="487"/>
      <c r="H11" s="487"/>
    </row>
    <row r="12" spans="1:8" x14ac:dyDescent="0.2">
      <c r="A12" s="487"/>
      <c r="B12" s="487"/>
      <c r="C12" s="487"/>
      <c r="D12" s="487"/>
      <c r="E12" s="487"/>
      <c r="F12" s="487"/>
      <c r="G12" s="487"/>
      <c r="H12" s="487"/>
    </row>
    <row r="13" spans="1:8" x14ac:dyDescent="0.2">
      <c r="A13" s="487"/>
      <c r="B13" s="487"/>
      <c r="C13" s="487"/>
      <c r="D13" s="487"/>
      <c r="E13" s="487"/>
      <c r="F13" s="487"/>
      <c r="G13" s="487"/>
      <c r="H13" s="487"/>
    </row>
    <row r="14" spans="1:8" x14ac:dyDescent="0.2">
      <c r="A14" s="487"/>
      <c r="B14" s="487"/>
      <c r="C14" s="487"/>
      <c r="D14" s="487"/>
      <c r="E14" s="487"/>
      <c r="F14" s="487"/>
      <c r="G14" s="487"/>
      <c r="H14" s="487"/>
    </row>
    <row r="15" spans="1:8" ht="19.5" customHeight="1" x14ac:dyDescent="0.3">
      <c r="A15" s="104"/>
      <c r="B15" s="104"/>
      <c r="C15" s="104"/>
      <c r="D15" s="104"/>
      <c r="E15" s="104"/>
      <c r="F15" s="104"/>
      <c r="G15" s="104"/>
      <c r="H15" s="104"/>
    </row>
    <row r="16" spans="1:8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8" ht="18.75" customHeight="1" x14ac:dyDescent="0.3">
      <c r="A17" s="105" t="s">
        <v>51</v>
      </c>
      <c r="B17" s="105"/>
      <c r="C17" s="104"/>
      <c r="D17" s="104"/>
      <c r="E17" s="104"/>
      <c r="F17" s="104"/>
      <c r="G17" s="104"/>
      <c r="H17" s="104"/>
    </row>
    <row r="18" spans="1:8" ht="26.25" customHeight="1" x14ac:dyDescent="0.4">
      <c r="A18" s="106" t="s">
        <v>33</v>
      </c>
      <c r="B18" s="491" t="s">
        <v>5</v>
      </c>
      <c r="C18" s="491"/>
      <c r="D18" s="491"/>
      <c r="E18" s="491"/>
      <c r="F18" s="104"/>
      <c r="G18" s="104"/>
      <c r="H18" s="104"/>
    </row>
    <row r="19" spans="1:8" ht="26.25" customHeight="1" x14ac:dyDescent="0.4">
      <c r="A19" s="106" t="s">
        <v>34</v>
      </c>
      <c r="B19" s="107" t="s">
        <v>7</v>
      </c>
      <c r="C19" s="104">
        <v>8</v>
      </c>
      <c r="D19" s="104"/>
      <c r="E19" s="104"/>
      <c r="F19" s="104"/>
      <c r="G19" s="104"/>
      <c r="H19" s="104"/>
    </row>
    <row r="20" spans="1:8" ht="26.25" customHeight="1" x14ac:dyDescent="0.4">
      <c r="A20" s="106" t="s">
        <v>35</v>
      </c>
      <c r="B20" s="107" t="s">
        <v>9</v>
      </c>
      <c r="C20" s="104"/>
      <c r="D20" s="104"/>
      <c r="E20" s="104"/>
      <c r="F20" s="104"/>
      <c r="G20" s="104"/>
      <c r="H20" s="104"/>
    </row>
    <row r="21" spans="1:8" ht="26.25" customHeight="1" x14ac:dyDescent="0.4">
      <c r="A21" s="106" t="s">
        <v>36</v>
      </c>
      <c r="B21" s="492" t="s">
        <v>11</v>
      </c>
      <c r="C21" s="492"/>
      <c r="D21" s="492"/>
      <c r="E21" s="492"/>
      <c r="F21" s="492"/>
      <c r="G21" s="492"/>
      <c r="H21" s="492"/>
    </row>
    <row r="22" spans="1:8" ht="26.25" customHeight="1" x14ac:dyDescent="0.4">
      <c r="A22" s="106" t="s">
        <v>37</v>
      </c>
      <c r="B22" s="108" t="s">
        <v>12</v>
      </c>
      <c r="C22" s="104"/>
      <c r="D22" s="104"/>
      <c r="E22" s="104"/>
      <c r="F22" s="104"/>
      <c r="G22" s="104"/>
      <c r="H22" s="104"/>
    </row>
    <row r="23" spans="1:8" ht="26.25" customHeight="1" x14ac:dyDescent="0.4">
      <c r="A23" s="106" t="s">
        <v>38</v>
      </c>
      <c r="B23" s="108"/>
      <c r="C23" s="104"/>
      <c r="D23" s="104"/>
      <c r="E23" s="104"/>
      <c r="F23" s="104"/>
      <c r="G23" s="104"/>
      <c r="H23" s="104"/>
    </row>
    <row r="24" spans="1:8" ht="18.75" customHeight="1" x14ac:dyDescent="0.3">
      <c r="A24" s="106"/>
      <c r="B24" s="109"/>
      <c r="C24" s="104"/>
      <c r="D24" s="104"/>
      <c r="E24" s="104"/>
      <c r="F24" s="104"/>
      <c r="G24" s="104"/>
      <c r="H24" s="104"/>
    </row>
    <row r="25" spans="1:8" ht="18.75" customHeight="1" x14ac:dyDescent="0.3">
      <c r="A25" s="110" t="s">
        <v>1</v>
      </c>
      <c r="B25" s="109"/>
      <c r="C25" s="104"/>
      <c r="D25" s="104"/>
      <c r="E25" s="104"/>
      <c r="F25" s="104"/>
      <c r="G25" s="104"/>
      <c r="H25" s="104"/>
    </row>
    <row r="26" spans="1:8" ht="26.25" customHeight="1" x14ac:dyDescent="0.4">
      <c r="A26" s="111" t="s">
        <v>4</v>
      </c>
      <c r="B26" s="491" t="s">
        <v>112</v>
      </c>
      <c r="C26" s="491"/>
      <c r="D26" s="104"/>
      <c r="E26" s="104"/>
      <c r="F26" s="104"/>
      <c r="G26" s="104"/>
      <c r="H26" s="104"/>
    </row>
    <row r="27" spans="1:8" ht="26.25" customHeight="1" x14ac:dyDescent="0.4">
      <c r="A27" s="112" t="s">
        <v>52</v>
      </c>
      <c r="B27" s="492" t="s">
        <v>113</v>
      </c>
      <c r="C27" s="492"/>
      <c r="D27" s="104"/>
      <c r="E27" s="104"/>
      <c r="F27" s="104"/>
      <c r="G27" s="104"/>
      <c r="H27" s="104"/>
    </row>
    <row r="28" spans="1:8" ht="27" customHeight="1" x14ac:dyDescent="0.4">
      <c r="A28" s="112" t="s">
        <v>6</v>
      </c>
      <c r="B28" s="113">
        <v>99.8</v>
      </c>
      <c r="C28" s="104"/>
      <c r="D28" s="104"/>
      <c r="E28" s="104"/>
      <c r="F28" s="104"/>
      <c r="G28" s="104"/>
      <c r="H28" s="104"/>
    </row>
    <row r="29" spans="1:8" ht="27" customHeight="1" x14ac:dyDescent="0.4">
      <c r="A29" s="112" t="s">
        <v>53</v>
      </c>
      <c r="B29" s="114">
        <v>0</v>
      </c>
      <c r="C29" s="493" t="s">
        <v>54</v>
      </c>
      <c r="D29" s="494"/>
      <c r="E29" s="494"/>
      <c r="F29" s="494"/>
      <c r="G29" s="494"/>
      <c r="H29" s="495"/>
    </row>
    <row r="30" spans="1:8" ht="19.5" customHeight="1" x14ac:dyDescent="0.3">
      <c r="A30" s="112" t="s">
        <v>55</v>
      </c>
      <c r="B30" s="115">
        <f>B28-B29</f>
        <v>99.8</v>
      </c>
      <c r="C30" s="116"/>
      <c r="D30" s="116"/>
      <c r="E30" s="116"/>
      <c r="F30" s="116"/>
      <c r="G30" s="116"/>
      <c r="H30" s="117"/>
    </row>
    <row r="31" spans="1:8" ht="27" customHeight="1" x14ac:dyDescent="0.4">
      <c r="A31" s="112" t="s">
        <v>56</v>
      </c>
      <c r="B31" s="118">
        <v>1</v>
      </c>
      <c r="C31" s="496" t="s">
        <v>57</v>
      </c>
      <c r="D31" s="497"/>
      <c r="E31" s="497"/>
      <c r="F31" s="497"/>
      <c r="G31" s="497"/>
      <c r="H31" s="498"/>
    </row>
    <row r="32" spans="1:8" ht="27" customHeight="1" x14ac:dyDescent="0.4">
      <c r="A32" s="112" t="s">
        <v>58</v>
      </c>
      <c r="B32" s="118">
        <v>1</v>
      </c>
      <c r="C32" s="496" t="s">
        <v>59</v>
      </c>
      <c r="D32" s="497"/>
      <c r="E32" s="497"/>
      <c r="F32" s="497"/>
      <c r="G32" s="497"/>
      <c r="H32" s="498"/>
    </row>
    <row r="33" spans="1:8" ht="18.75" customHeight="1" x14ac:dyDescent="0.3">
      <c r="A33" s="112"/>
      <c r="B33" s="119"/>
      <c r="C33" s="120"/>
      <c r="D33" s="120"/>
      <c r="E33" s="120"/>
      <c r="F33" s="120"/>
      <c r="G33" s="120"/>
      <c r="H33" s="120"/>
    </row>
    <row r="34" spans="1:8" ht="18.75" customHeight="1" x14ac:dyDescent="0.3">
      <c r="A34" s="112" t="s">
        <v>60</v>
      </c>
      <c r="B34" s="121">
        <f>B31/B32</f>
        <v>1</v>
      </c>
      <c r="C34" s="104" t="s">
        <v>61</v>
      </c>
      <c r="D34" s="104"/>
      <c r="E34" s="104"/>
      <c r="F34" s="104"/>
      <c r="G34" s="104"/>
      <c r="H34" s="122"/>
    </row>
    <row r="35" spans="1:8" ht="19.5" customHeight="1" x14ac:dyDescent="0.3">
      <c r="A35" s="112"/>
      <c r="B35" s="115"/>
      <c r="C35" s="122"/>
      <c r="D35" s="122"/>
      <c r="E35" s="122"/>
      <c r="F35" s="122"/>
      <c r="G35" s="104"/>
      <c r="H35" s="122"/>
    </row>
    <row r="36" spans="1:8" ht="27" customHeight="1" x14ac:dyDescent="0.4">
      <c r="A36" s="123" t="s">
        <v>62</v>
      </c>
      <c r="B36" s="124">
        <v>10</v>
      </c>
      <c r="C36" s="104"/>
      <c r="D36" s="499" t="s">
        <v>63</v>
      </c>
      <c r="E36" s="500"/>
      <c r="F36" s="499" t="s">
        <v>64</v>
      </c>
      <c r="G36" s="501"/>
      <c r="H36" s="122"/>
    </row>
    <row r="37" spans="1:8" ht="26.25" customHeight="1" x14ac:dyDescent="0.4">
      <c r="A37" s="125" t="s">
        <v>65</v>
      </c>
      <c r="B37" s="126">
        <v>1</v>
      </c>
      <c r="C37" s="127" t="s">
        <v>66</v>
      </c>
      <c r="D37" s="128" t="s">
        <v>67</v>
      </c>
      <c r="E37" s="129" t="s">
        <v>68</v>
      </c>
      <c r="F37" s="128" t="s">
        <v>67</v>
      </c>
      <c r="G37" s="130" t="s">
        <v>68</v>
      </c>
      <c r="H37" s="122"/>
    </row>
    <row r="38" spans="1:8" ht="26.25" customHeight="1" x14ac:dyDescent="0.4">
      <c r="A38" s="125" t="s">
        <v>69</v>
      </c>
      <c r="B38" s="126">
        <v>1</v>
      </c>
      <c r="C38" s="131">
        <v>1</v>
      </c>
      <c r="D38" s="132">
        <v>12406150</v>
      </c>
      <c r="E38" s="133">
        <f>IF(ISBLANK(D38),"-",$D$48/$D$45*D38)</f>
        <v>11688774.822800279</v>
      </c>
      <c r="F38" s="132">
        <v>11576512</v>
      </c>
      <c r="G38" s="134">
        <f>IF(ISBLANK(F38),"-",$D$48/$F$45*F38)</f>
        <v>11755471.419149423</v>
      </c>
      <c r="H38" s="122"/>
    </row>
    <row r="39" spans="1:8" ht="26.25" customHeight="1" x14ac:dyDescent="0.4">
      <c r="A39" s="125" t="s">
        <v>70</v>
      </c>
      <c r="B39" s="126">
        <v>1</v>
      </c>
      <c r="C39" s="135">
        <v>2</v>
      </c>
      <c r="D39" s="136">
        <v>12350314</v>
      </c>
      <c r="E39" s="137">
        <f>IF(ISBLANK(D39),"-",$D$48/$D$45*D39)</f>
        <v>11636167.492483791</v>
      </c>
      <c r="F39" s="136">
        <v>11570526</v>
      </c>
      <c r="G39" s="138">
        <f>IF(ISBLANK(F39),"-",$D$48/$F$45*F39)</f>
        <v>11749392.882547464</v>
      </c>
      <c r="H39" s="122"/>
    </row>
    <row r="40" spans="1:8" ht="26.25" customHeight="1" x14ac:dyDescent="0.4">
      <c r="A40" s="125" t="s">
        <v>71</v>
      </c>
      <c r="B40" s="126">
        <v>1</v>
      </c>
      <c r="C40" s="135">
        <v>3</v>
      </c>
      <c r="D40" s="136">
        <v>12369866</v>
      </c>
      <c r="E40" s="137">
        <f>IF(ISBLANK(D40),"-",$D$48/$D$45*D40)</f>
        <v>11654588.914547477</v>
      </c>
      <c r="F40" s="136">
        <v>11569382</v>
      </c>
      <c r="G40" s="138">
        <f>IF(ISBLANK(F40),"-",$D$48/$F$45*F40)</f>
        <v>11748231.197637232</v>
      </c>
      <c r="H40" s="104"/>
    </row>
    <row r="41" spans="1:8" ht="26.25" customHeight="1" x14ac:dyDescent="0.4">
      <c r="A41" s="125" t="s">
        <v>72</v>
      </c>
      <c r="B41" s="126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H41" s="104"/>
    </row>
    <row r="42" spans="1:8" ht="27" customHeight="1" x14ac:dyDescent="0.4">
      <c r="A42" s="125" t="s">
        <v>73</v>
      </c>
      <c r="B42" s="126">
        <v>1</v>
      </c>
      <c r="C42" s="143" t="s">
        <v>74</v>
      </c>
      <c r="D42" s="144">
        <f>AVERAGE(D38:D41)</f>
        <v>12375443.333333334</v>
      </c>
      <c r="E42" s="145">
        <f>AVERAGE(E38:E41)</f>
        <v>11659843.743277183</v>
      </c>
      <c r="F42" s="144">
        <f>AVERAGE(F38:F41)</f>
        <v>11572140</v>
      </c>
      <c r="G42" s="146">
        <f>AVERAGE(G38:G41)</f>
        <v>11751031.833111374</v>
      </c>
      <c r="H42" s="147"/>
    </row>
    <row r="43" spans="1:8" ht="26.25" customHeight="1" x14ac:dyDescent="0.4">
      <c r="A43" s="125" t="s">
        <v>75</v>
      </c>
      <c r="B43" s="126">
        <v>1</v>
      </c>
      <c r="C43" s="148" t="s">
        <v>76</v>
      </c>
      <c r="D43" s="149">
        <v>42.54</v>
      </c>
      <c r="E43" s="150"/>
      <c r="F43" s="149">
        <v>39.47</v>
      </c>
      <c r="G43" s="104"/>
      <c r="H43" s="147"/>
    </row>
    <row r="44" spans="1:8" ht="26.25" customHeight="1" x14ac:dyDescent="0.4">
      <c r="A44" s="125" t="s">
        <v>77</v>
      </c>
      <c r="B44" s="126">
        <v>1</v>
      </c>
      <c r="C44" s="151" t="s">
        <v>78</v>
      </c>
      <c r="D44" s="152">
        <f>D43*$B$34</f>
        <v>42.54</v>
      </c>
      <c r="E44" s="153"/>
      <c r="F44" s="152">
        <f>F43*$B$34</f>
        <v>39.47</v>
      </c>
      <c r="G44" s="104"/>
      <c r="H44" s="147"/>
    </row>
    <row r="45" spans="1:8" ht="19.5" customHeight="1" x14ac:dyDescent="0.3">
      <c r="A45" s="125" t="s">
        <v>79</v>
      </c>
      <c r="B45" s="154">
        <f>(B44/B43)*(B42/B41)*(B40/B39)*(B38/B37)*B36</f>
        <v>10</v>
      </c>
      <c r="C45" s="151" t="s">
        <v>80</v>
      </c>
      <c r="D45" s="155">
        <f>D44*$B$30/100</f>
        <v>42.454920000000001</v>
      </c>
      <c r="E45" s="156"/>
      <c r="F45" s="155">
        <f>F44*$B$30/100</f>
        <v>39.391059999999996</v>
      </c>
      <c r="G45" s="104"/>
      <c r="H45" s="147"/>
    </row>
    <row r="46" spans="1:8" ht="19.5" customHeight="1" x14ac:dyDescent="0.3">
      <c r="A46" s="481" t="s">
        <v>81</v>
      </c>
      <c r="B46" s="482"/>
      <c r="C46" s="151" t="s">
        <v>82</v>
      </c>
      <c r="D46" s="152">
        <f>D45/$B$45</f>
        <v>4.2454920000000005</v>
      </c>
      <c r="E46" s="156"/>
      <c r="F46" s="157">
        <f>F45/$B$45</f>
        <v>3.9391059999999998</v>
      </c>
      <c r="G46" s="104"/>
      <c r="H46" s="147"/>
    </row>
    <row r="47" spans="1:8" ht="27" customHeight="1" x14ac:dyDescent="0.4">
      <c r="A47" s="483"/>
      <c r="B47" s="484"/>
      <c r="C47" s="158" t="s">
        <v>83</v>
      </c>
      <c r="D47" s="159">
        <v>4</v>
      </c>
      <c r="E47" s="104"/>
      <c r="F47" s="160"/>
      <c r="G47" s="104"/>
      <c r="H47" s="147"/>
    </row>
    <row r="48" spans="1:8" ht="18.75" customHeight="1" x14ac:dyDescent="0.3">
      <c r="A48" s="104"/>
      <c r="B48" s="104"/>
      <c r="C48" s="161" t="s">
        <v>84</v>
      </c>
      <c r="D48" s="152">
        <f>D47*$B$45</f>
        <v>40</v>
      </c>
      <c r="E48" s="104"/>
      <c r="F48" s="160"/>
      <c r="G48" s="104"/>
      <c r="H48" s="147"/>
    </row>
    <row r="49" spans="1:8" ht="19.5" customHeight="1" x14ac:dyDescent="0.3">
      <c r="A49" s="104"/>
      <c r="B49" s="104"/>
      <c r="C49" s="162" t="s">
        <v>85</v>
      </c>
      <c r="D49" s="163">
        <f>D48/B34</f>
        <v>40</v>
      </c>
      <c r="E49" s="104"/>
      <c r="F49" s="160"/>
      <c r="G49" s="104"/>
      <c r="H49" s="147"/>
    </row>
    <row r="50" spans="1:8" ht="18.75" customHeight="1" x14ac:dyDescent="0.3">
      <c r="A50" s="104"/>
      <c r="B50" s="104"/>
      <c r="C50" s="123" t="s">
        <v>86</v>
      </c>
      <c r="D50" s="164">
        <f>AVERAGE(E38:E41,G38:G41)</f>
        <v>11705437.788194276</v>
      </c>
      <c r="E50" s="104"/>
      <c r="F50" s="165"/>
      <c r="G50" s="104"/>
      <c r="H50" s="147"/>
    </row>
    <row r="51" spans="1:8" ht="18.75" customHeight="1" x14ac:dyDescent="0.3">
      <c r="A51" s="104"/>
      <c r="B51" s="104"/>
      <c r="C51" s="158" t="s">
        <v>87</v>
      </c>
      <c r="D51" s="166">
        <f>STDEV(E38:E41,G38:G41)/D50</f>
        <v>4.5089644244277229E-3</v>
      </c>
      <c r="E51" s="104"/>
      <c r="F51" s="165"/>
      <c r="G51" s="104"/>
      <c r="H51" s="147"/>
    </row>
    <row r="52" spans="1:8" ht="19.5" customHeight="1" x14ac:dyDescent="0.3">
      <c r="A52" s="104"/>
      <c r="B52" s="104"/>
      <c r="C52" s="167" t="s">
        <v>20</v>
      </c>
      <c r="D52" s="168">
        <f>COUNT(E38:E41,G38:G41)</f>
        <v>6</v>
      </c>
      <c r="E52" s="104"/>
      <c r="F52" s="165"/>
      <c r="G52" s="104"/>
      <c r="H52" s="104"/>
    </row>
    <row r="53" spans="1:8" ht="18.75" customHeight="1" x14ac:dyDescent="0.3">
      <c r="A53" s="104"/>
      <c r="B53" s="104"/>
      <c r="C53" s="104"/>
      <c r="D53" s="104"/>
      <c r="E53" s="104"/>
      <c r="F53" s="104"/>
      <c r="G53" s="104"/>
      <c r="H53" s="104"/>
    </row>
    <row r="54" spans="1:8" ht="18.75" customHeight="1" x14ac:dyDescent="0.3">
      <c r="A54" s="105" t="s">
        <v>1</v>
      </c>
      <c r="B54" s="169" t="s">
        <v>88</v>
      </c>
      <c r="C54" s="104"/>
      <c r="D54" s="104"/>
      <c r="E54" s="104"/>
      <c r="F54" s="104"/>
      <c r="G54" s="104"/>
      <c r="H54" s="104"/>
    </row>
    <row r="55" spans="1:8" ht="18.75" customHeight="1" x14ac:dyDescent="0.3">
      <c r="A55" s="104" t="s">
        <v>89</v>
      </c>
      <c r="B55" s="170" t="str">
        <f>B21</f>
        <v>Each box contains 1 vial of Artesunate 60 mg for injection, 1 ampoule of sodium bicarbonate 50 mg/mL injection and 1 ampoule of sodium chloride 9 mg/mL injection.</v>
      </c>
      <c r="C55" s="104"/>
      <c r="D55" s="104"/>
      <c r="E55" s="104"/>
      <c r="F55" s="104"/>
      <c r="G55" s="104"/>
      <c r="H55" s="104"/>
    </row>
    <row r="56" spans="1:8" ht="26.25" customHeight="1" x14ac:dyDescent="0.4">
      <c r="A56" s="171" t="s">
        <v>90</v>
      </c>
      <c r="B56" s="172">
        <v>60</v>
      </c>
      <c r="C56" s="104" t="str">
        <f>B20</f>
        <v>Artesunate 60 mg</v>
      </c>
      <c r="D56" s="104"/>
      <c r="E56" s="104"/>
      <c r="F56" s="104"/>
      <c r="G56" s="104"/>
      <c r="H56" s="173"/>
    </row>
    <row r="57" spans="1:8" ht="18.75" customHeight="1" x14ac:dyDescent="0.3">
      <c r="A57" s="170" t="s">
        <v>91</v>
      </c>
      <c r="B57" s="221">
        <f>Uniformity!D33</f>
        <v>58.426000000000023</v>
      </c>
      <c r="C57" s="104"/>
      <c r="D57" s="104"/>
      <c r="E57" s="104"/>
      <c r="F57" s="104"/>
      <c r="G57" s="104"/>
      <c r="H57" s="173"/>
    </row>
    <row r="58" spans="1:8" ht="19.5" customHeight="1" x14ac:dyDescent="0.3">
      <c r="A58" s="104"/>
      <c r="B58" s="104"/>
      <c r="C58" s="104"/>
      <c r="D58" s="104"/>
      <c r="E58" s="104"/>
      <c r="F58" s="104"/>
      <c r="G58" s="104"/>
      <c r="H58" s="173"/>
    </row>
    <row r="59" spans="1:8" ht="27" customHeight="1" x14ac:dyDescent="0.4">
      <c r="A59" s="123" t="s">
        <v>92</v>
      </c>
      <c r="B59" s="124">
        <v>10</v>
      </c>
      <c r="C59" s="104"/>
      <c r="D59" s="174" t="s">
        <v>93</v>
      </c>
      <c r="E59" s="175" t="s">
        <v>66</v>
      </c>
      <c r="F59" s="175" t="s">
        <v>67</v>
      </c>
      <c r="G59" s="175" t="s">
        <v>94</v>
      </c>
      <c r="H59" s="127" t="s">
        <v>95</v>
      </c>
    </row>
    <row r="60" spans="1:8" ht="26.25" customHeight="1" x14ac:dyDescent="0.4">
      <c r="A60" s="125" t="s">
        <v>96</v>
      </c>
      <c r="B60" s="126">
        <v>1</v>
      </c>
      <c r="C60" s="474" t="s">
        <v>97</v>
      </c>
      <c r="D60" s="477">
        <v>39.4</v>
      </c>
      <c r="E60" s="176">
        <v>1</v>
      </c>
      <c r="F60" s="177">
        <v>11643329</v>
      </c>
      <c r="G60" s="178">
        <f>IF(ISBLANK(F60),"-",(F60/$D$50*$D$47*$B$68)*($B$57/$D$60))</f>
        <v>59.001008086559509</v>
      </c>
      <c r="H60" s="179">
        <f t="shared" ref="H60:H71" si="0">IF(ISBLANK(F60),"-",G60/$B$56)</f>
        <v>0.98335013477599176</v>
      </c>
    </row>
    <row r="61" spans="1:8" ht="26.25" customHeight="1" x14ac:dyDescent="0.4">
      <c r="A61" s="125" t="s">
        <v>98</v>
      </c>
      <c r="B61" s="126">
        <v>1</v>
      </c>
      <c r="C61" s="475"/>
      <c r="D61" s="478"/>
      <c r="E61" s="180">
        <v>2</v>
      </c>
      <c r="F61" s="136">
        <v>11666803</v>
      </c>
      <c r="G61" s="181">
        <f>IF(ISBLANK(F61),"-",(F61/$D$50*$D$47*$B$68)*($B$57/$D$60))</f>
        <v>59.119959433191042</v>
      </c>
      <c r="H61" s="182">
        <f t="shared" si="0"/>
        <v>0.98533265721985075</v>
      </c>
    </row>
    <row r="62" spans="1:8" ht="26.25" customHeight="1" x14ac:dyDescent="0.4">
      <c r="A62" s="125" t="s">
        <v>99</v>
      </c>
      <c r="B62" s="126">
        <v>1</v>
      </c>
      <c r="C62" s="475"/>
      <c r="D62" s="478"/>
      <c r="E62" s="180">
        <v>3</v>
      </c>
      <c r="F62" s="136">
        <v>11697138</v>
      </c>
      <c r="G62" s="181">
        <f>IF(ISBLANK(F62),"-",(F62/$D$50*$D$47*$B$68)*($B$57/$D$60))</f>
        <v>59.273677977114843</v>
      </c>
      <c r="H62" s="182">
        <f t="shared" si="0"/>
        <v>0.98789463295191404</v>
      </c>
    </row>
    <row r="63" spans="1:8" ht="27" customHeight="1" x14ac:dyDescent="0.4">
      <c r="A63" s="125" t="s">
        <v>100</v>
      </c>
      <c r="B63" s="126">
        <v>1</v>
      </c>
      <c r="C63" s="476"/>
      <c r="D63" s="479"/>
      <c r="E63" s="183">
        <v>4</v>
      </c>
      <c r="F63" s="184"/>
      <c r="G63" s="181" t="str">
        <f>IF(ISBLANK(F63),"-",(F63/$D$50*$D$47*$B$68)*($B$57/$D$60))</f>
        <v>-</v>
      </c>
      <c r="H63" s="182" t="str">
        <f t="shared" si="0"/>
        <v>-</v>
      </c>
    </row>
    <row r="64" spans="1:8" ht="26.25" customHeight="1" x14ac:dyDescent="0.4">
      <c r="A64" s="125" t="s">
        <v>101</v>
      </c>
      <c r="B64" s="126">
        <v>1</v>
      </c>
      <c r="C64" s="474" t="s">
        <v>102</v>
      </c>
      <c r="D64" s="477">
        <v>38.049999999999997</v>
      </c>
      <c r="E64" s="176">
        <v>1</v>
      </c>
      <c r="F64" s="177">
        <v>11270302</v>
      </c>
      <c r="G64" s="185">
        <f>IF(ISBLANK(F64),"-",(F64/$D$50*$D$47*$B$68)*($B$57/$D$64))</f>
        <v>59.137011971701753</v>
      </c>
      <c r="H64" s="186">
        <f t="shared" si="0"/>
        <v>0.9856168661950292</v>
      </c>
    </row>
    <row r="65" spans="1:8" ht="26.25" customHeight="1" x14ac:dyDescent="0.4">
      <c r="A65" s="125" t="s">
        <v>103</v>
      </c>
      <c r="B65" s="126">
        <v>1</v>
      </c>
      <c r="C65" s="475"/>
      <c r="D65" s="478"/>
      <c r="E65" s="180">
        <v>2</v>
      </c>
      <c r="F65" s="136">
        <v>11241283</v>
      </c>
      <c r="G65" s="187">
        <f>IF(ISBLANK(F65),"-",(F65/$D$50*$D$47*$B$68)*($B$57/$D$64))</f>
        <v>58.98474480526675</v>
      </c>
      <c r="H65" s="188">
        <f t="shared" si="0"/>
        <v>0.98307908008777922</v>
      </c>
    </row>
    <row r="66" spans="1:8" ht="26.25" customHeight="1" x14ac:dyDescent="0.4">
      <c r="A66" s="125" t="s">
        <v>104</v>
      </c>
      <c r="B66" s="126">
        <v>1</v>
      </c>
      <c r="C66" s="475"/>
      <c r="D66" s="478"/>
      <c r="E66" s="180">
        <v>3</v>
      </c>
      <c r="F66" s="136">
        <v>11260915</v>
      </c>
      <c r="G66" s="187">
        <f>IF(ISBLANK(F66),"-",(F66/$D$50*$D$47*$B$68)*($B$57/$D$64))</f>
        <v>59.087756935645181</v>
      </c>
      <c r="H66" s="188">
        <f t="shared" si="0"/>
        <v>0.98479594892741973</v>
      </c>
    </row>
    <row r="67" spans="1:8" ht="27" customHeight="1" x14ac:dyDescent="0.4">
      <c r="A67" s="125" t="s">
        <v>105</v>
      </c>
      <c r="B67" s="126">
        <v>1</v>
      </c>
      <c r="C67" s="476"/>
      <c r="D67" s="479"/>
      <c r="E67" s="183">
        <v>4</v>
      </c>
      <c r="F67" s="184"/>
      <c r="G67" s="189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5" t="s">
        <v>106</v>
      </c>
      <c r="B68" s="191">
        <f>(B67/B66)*(B65/B64)*(B63/B62)*(B61/B60)*B59</f>
        <v>10</v>
      </c>
      <c r="C68" s="474" t="s">
        <v>107</v>
      </c>
      <c r="D68" s="477">
        <v>37.72</v>
      </c>
      <c r="E68" s="176">
        <v>1</v>
      </c>
      <c r="F68" s="177">
        <v>11089201</v>
      </c>
      <c r="G68" s="185">
        <f>IF(ISBLANK(F68),"-",(F68/$D$50*$D$47*$B$68)*($B$57/$D$68))</f>
        <v>58.695804014359922</v>
      </c>
      <c r="H68" s="182">
        <f t="shared" si="0"/>
        <v>0.978263400239332</v>
      </c>
    </row>
    <row r="69" spans="1:8" ht="27" customHeight="1" x14ac:dyDescent="0.4">
      <c r="A69" s="167" t="s">
        <v>108</v>
      </c>
      <c r="B69" s="192">
        <f>(D47*B68)/B56*B57</f>
        <v>38.950666666666677</v>
      </c>
      <c r="C69" s="475"/>
      <c r="D69" s="478"/>
      <c r="E69" s="180">
        <v>2</v>
      </c>
      <c r="F69" s="136">
        <v>11154394</v>
      </c>
      <c r="G69" s="187">
        <f>IF(ISBLANK(F69),"-",(F69/$D$50*$D$47*$B$68)*($B$57/$D$68))</f>
        <v>59.040874461825723</v>
      </c>
      <c r="H69" s="182">
        <f t="shared" si="0"/>
        <v>0.98401457436376205</v>
      </c>
    </row>
    <row r="70" spans="1:8" ht="26.25" customHeight="1" x14ac:dyDescent="0.4">
      <c r="A70" s="481" t="s">
        <v>81</v>
      </c>
      <c r="B70" s="482"/>
      <c r="C70" s="475"/>
      <c r="D70" s="478"/>
      <c r="E70" s="180">
        <v>3</v>
      </c>
      <c r="F70" s="136">
        <v>11156946</v>
      </c>
      <c r="G70" s="187">
        <f>IF(ISBLANK(F70),"-",(F70/$D$50*$D$47*$B$68)*($B$57/$D$68))</f>
        <v>59.054382350432356</v>
      </c>
      <c r="H70" s="182">
        <f t="shared" si="0"/>
        <v>0.98423970584053921</v>
      </c>
    </row>
    <row r="71" spans="1:8" ht="27" customHeight="1" x14ac:dyDescent="0.4">
      <c r="A71" s="483"/>
      <c r="B71" s="484"/>
      <c r="C71" s="480"/>
      <c r="D71" s="479"/>
      <c r="E71" s="183">
        <v>4</v>
      </c>
      <c r="F71" s="184"/>
      <c r="G71" s="189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74</v>
      </c>
      <c r="H72" s="197">
        <f>AVERAGE(H60:H71)</f>
        <v>0.98406522228906868</v>
      </c>
    </row>
    <row r="73" spans="1:8" ht="26.25" customHeight="1" x14ac:dyDescent="0.4">
      <c r="A73" s="104"/>
      <c r="B73" s="104"/>
      <c r="C73" s="194"/>
      <c r="D73" s="194"/>
      <c r="E73" s="194"/>
      <c r="F73" s="195"/>
      <c r="G73" s="198" t="s">
        <v>87</v>
      </c>
      <c r="H73" s="199">
        <f>STDEV(H60:H71)/H72</f>
        <v>2.6496706898106286E-3</v>
      </c>
    </row>
    <row r="74" spans="1:8" ht="27" customHeight="1" x14ac:dyDescent="0.4">
      <c r="A74" s="194"/>
      <c r="B74" s="194"/>
      <c r="C74" s="195"/>
      <c r="D74" s="195"/>
      <c r="E74" s="200"/>
      <c r="F74" s="195"/>
      <c r="G74" s="201" t="s">
        <v>20</v>
      </c>
      <c r="H74" s="202">
        <f>COUNT(H60:H71)</f>
        <v>9</v>
      </c>
    </row>
    <row r="75" spans="1:8" ht="18.75" customHeight="1" x14ac:dyDescent="0.3">
      <c r="A75" s="203"/>
      <c r="B75" s="203"/>
      <c r="C75" s="153"/>
      <c r="D75" s="153"/>
      <c r="E75" s="156"/>
      <c r="F75" s="153"/>
      <c r="G75" s="204"/>
      <c r="H75" s="205"/>
    </row>
    <row r="76" spans="1:8" ht="26.25" customHeight="1" x14ac:dyDescent="0.4">
      <c r="A76" s="111" t="s">
        <v>109</v>
      </c>
      <c r="B76" s="206" t="s">
        <v>110</v>
      </c>
      <c r="C76" s="485" t="str">
        <f>B20</f>
        <v>Artesunate 60 mg</v>
      </c>
      <c r="D76" s="485"/>
      <c r="E76" s="207" t="s">
        <v>111</v>
      </c>
      <c r="F76" s="207"/>
      <c r="G76" s="208">
        <f>H72</f>
        <v>0.98406522228906868</v>
      </c>
      <c r="H76" s="205"/>
    </row>
    <row r="77" spans="1:8" ht="19.5" customHeight="1" x14ac:dyDescent="0.3">
      <c r="A77" s="209"/>
      <c r="B77" s="209"/>
      <c r="C77" s="210"/>
      <c r="D77" s="210"/>
      <c r="E77" s="210"/>
      <c r="F77" s="210"/>
      <c r="G77" s="210"/>
      <c r="H77" s="210"/>
    </row>
    <row r="78" spans="1:8" ht="18.75" customHeight="1" x14ac:dyDescent="0.3">
      <c r="A78" s="104"/>
      <c r="B78" s="473" t="s">
        <v>26</v>
      </c>
      <c r="C78" s="473"/>
      <c r="D78" s="104"/>
      <c r="E78" s="211" t="s">
        <v>27</v>
      </c>
      <c r="F78" s="212"/>
      <c r="G78" s="473" t="s">
        <v>28</v>
      </c>
      <c r="H78" s="473"/>
    </row>
    <row r="79" spans="1:8" ht="60" customHeight="1" x14ac:dyDescent="0.3">
      <c r="A79" s="213" t="s">
        <v>29</v>
      </c>
      <c r="B79" s="214"/>
      <c r="C79" s="214"/>
      <c r="D79" s="104"/>
      <c r="E79" s="215"/>
      <c r="F79" s="216"/>
      <c r="G79" s="217"/>
      <c r="H79" s="217"/>
    </row>
    <row r="80" spans="1:8" ht="60" customHeight="1" x14ac:dyDescent="0.3">
      <c r="A80" s="213" t="s">
        <v>30</v>
      </c>
      <c r="B80" s="218"/>
      <c r="C80" s="218"/>
      <c r="D80" s="104"/>
      <c r="E80" s="219"/>
      <c r="F80" s="216"/>
      <c r="G80" s="220"/>
      <c r="H80" s="22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3" zoomScale="37" zoomScaleNormal="75" zoomScalePageLayoutView="37" workbookViewId="0">
      <selection activeCell="A56" sqref="A56"/>
    </sheetView>
  </sheetViews>
  <sheetFormatPr defaultRowHeight="16.5" x14ac:dyDescent="0.3"/>
  <cols>
    <col min="1" max="1" width="66.28515625" style="223" customWidth="1"/>
    <col min="2" max="2" width="32.28515625" style="223" customWidth="1"/>
    <col min="3" max="3" width="33.28515625" style="223" customWidth="1"/>
    <col min="4" max="4" width="30.5703125" style="223" customWidth="1"/>
    <col min="5" max="5" width="33.5703125" style="223" customWidth="1"/>
    <col min="6" max="6" width="39.85546875" style="223" customWidth="1"/>
    <col min="7" max="7" width="31.7109375" style="223" customWidth="1"/>
    <col min="8" max="8" width="31.140625" style="223" customWidth="1"/>
    <col min="9" max="9" width="32.28515625" style="222" customWidth="1"/>
    <col min="10" max="10" width="22.28515625" style="222" customWidth="1"/>
    <col min="11" max="11" width="19.5703125" style="222" customWidth="1"/>
    <col min="12" max="12" width="21.140625" style="222" customWidth="1"/>
    <col min="13" max="13" width="9.140625" style="222" customWidth="1"/>
    <col min="14" max="16384" width="9.140625" style="224"/>
  </cols>
  <sheetData>
    <row r="1" spans="1:9" ht="15" x14ac:dyDescent="0.3">
      <c r="A1" s="502" t="s">
        <v>115</v>
      </c>
      <c r="B1" s="502"/>
      <c r="C1" s="502"/>
      <c r="D1" s="502"/>
      <c r="E1" s="502"/>
      <c r="F1" s="502"/>
      <c r="G1" s="502"/>
      <c r="H1" s="502"/>
      <c r="I1" s="502"/>
    </row>
    <row r="2" spans="1:9" ht="15" x14ac:dyDescent="0.3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5" x14ac:dyDescent="0.3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5" x14ac:dyDescent="0.3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5" x14ac:dyDescent="0.3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5" x14ac:dyDescent="0.3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5" x14ac:dyDescent="0.3">
      <c r="A7" s="502"/>
      <c r="B7" s="502"/>
      <c r="C7" s="502"/>
      <c r="D7" s="502"/>
      <c r="E7" s="502"/>
      <c r="F7" s="502"/>
      <c r="G7" s="502"/>
      <c r="H7" s="502"/>
      <c r="I7" s="502"/>
    </row>
    <row r="8" spans="1:9" ht="15" x14ac:dyDescent="0.3">
      <c r="A8" s="503" t="s">
        <v>50</v>
      </c>
      <c r="B8" s="503"/>
      <c r="C8" s="503"/>
      <c r="D8" s="503"/>
      <c r="E8" s="503"/>
      <c r="F8" s="503"/>
      <c r="G8" s="503"/>
      <c r="H8" s="503"/>
      <c r="I8" s="503"/>
    </row>
    <row r="9" spans="1:9" ht="15" x14ac:dyDescent="0.3">
      <c r="A9" s="503"/>
      <c r="B9" s="503"/>
      <c r="C9" s="503"/>
      <c r="D9" s="503"/>
      <c r="E9" s="503"/>
      <c r="F9" s="503"/>
      <c r="G9" s="503"/>
      <c r="H9" s="503"/>
      <c r="I9" s="503"/>
    </row>
    <row r="10" spans="1:9" ht="15" x14ac:dyDescent="0.3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ht="15" x14ac:dyDescent="0.3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ht="15" x14ac:dyDescent="0.3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ht="15" x14ac:dyDescent="0.3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ht="15" x14ac:dyDescent="0.3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thickBot="1" x14ac:dyDescent="0.35"/>
    <row r="16" spans="1:9" ht="19.5" customHeight="1" thickBot="1" x14ac:dyDescent="0.35">
      <c r="A16" s="504" t="s">
        <v>31</v>
      </c>
      <c r="B16" s="505"/>
      <c r="C16" s="505"/>
      <c r="D16" s="505"/>
      <c r="E16" s="505"/>
      <c r="F16" s="505"/>
      <c r="G16" s="505"/>
      <c r="H16" s="506"/>
    </row>
    <row r="17" spans="1:14" ht="18.75" x14ac:dyDescent="0.3">
      <c r="A17" s="507" t="s">
        <v>51</v>
      </c>
      <c r="B17" s="507"/>
      <c r="C17" s="507"/>
      <c r="D17" s="507"/>
      <c r="E17" s="507"/>
      <c r="F17" s="507"/>
      <c r="G17" s="507"/>
      <c r="H17" s="507"/>
    </row>
    <row r="18" spans="1:14" ht="18.75" x14ac:dyDescent="0.3">
      <c r="A18" s="225" t="s">
        <v>33</v>
      </c>
      <c r="B18" s="226" t="s">
        <v>116</v>
      </c>
      <c r="C18" s="226"/>
      <c r="D18" s="226"/>
      <c r="E18" s="226"/>
    </row>
    <row r="19" spans="1:14" ht="18.75" x14ac:dyDescent="0.3">
      <c r="A19" s="225" t="s">
        <v>34</v>
      </c>
      <c r="B19" s="227" t="s">
        <v>7</v>
      </c>
      <c r="C19" s="228">
        <v>22</v>
      </c>
    </row>
    <row r="20" spans="1:14" ht="18.75" x14ac:dyDescent="0.3">
      <c r="A20" s="225" t="s">
        <v>35</v>
      </c>
      <c r="B20" s="227" t="s">
        <v>117</v>
      </c>
    </row>
    <row r="21" spans="1:14" ht="18.75" x14ac:dyDescent="0.3">
      <c r="A21" s="225" t="s">
        <v>36</v>
      </c>
      <c r="B21" s="229" t="s">
        <v>11</v>
      </c>
      <c r="C21" s="229"/>
      <c r="D21" s="229"/>
      <c r="E21" s="229"/>
      <c r="F21" s="229"/>
      <c r="G21" s="229"/>
      <c r="H21" s="229"/>
      <c r="I21" s="230"/>
    </row>
    <row r="22" spans="1:14" ht="18.75" x14ac:dyDescent="0.3">
      <c r="A22" s="225" t="s">
        <v>37</v>
      </c>
      <c r="B22" s="231">
        <v>43089</v>
      </c>
    </row>
    <row r="23" spans="1:14" ht="18.75" x14ac:dyDescent="0.3">
      <c r="A23" s="225" t="s">
        <v>38</v>
      </c>
      <c r="B23" s="231">
        <v>43090</v>
      </c>
    </row>
    <row r="24" spans="1:14" ht="18.75" x14ac:dyDescent="0.3">
      <c r="A24" s="225"/>
      <c r="B24" s="232"/>
    </row>
    <row r="25" spans="1:14" ht="18.75" x14ac:dyDescent="0.3">
      <c r="A25" s="233" t="s">
        <v>1</v>
      </c>
      <c r="B25" s="234" t="s">
        <v>118</v>
      </c>
    </row>
    <row r="26" spans="1:14" s="240" customFormat="1" ht="18.75" x14ac:dyDescent="0.3">
      <c r="A26" s="235"/>
      <c r="B26" s="236"/>
      <c r="C26" s="237"/>
      <c r="D26" s="237"/>
      <c r="E26" s="237"/>
      <c r="F26" s="237"/>
      <c r="G26" s="237"/>
      <c r="H26" s="237"/>
      <c r="I26" s="238"/>
      <c r="J26" s="238"/>
      <c r="K26" s="238"/>
      <c r="L26" s="238"/>
      <c r="M26" s="238"/>
      <c r="N26" s="239"/>
    </row>
    <row r="27" spans="1:14" s="240" customFormat="1" ht="26.25" customHeight="1" x14ac:dyDescent="0.4">
      <c r="A27" s="241" t="s">
        <v>4</v>
      </c>
      <c r="B27" s="242" t="s">
        <v>119</v>
      </c>
      <c r="C27" s="243"/>
      <c r="D27" s="239"/>
      <c r="E27" s="239"/>
      <c r="F27" s="239"/>
      <c r="G27" s="239"/>
      <c r="H27" s="237"/>
      <c r="I27" s="238"/>
      <c r="J27" s="238"/>
      <c r="K27" s="238"/>
      <c r="L27" s="238"/>
      <c r="M27" s="238"/>
      <c r="N27" s="239"/>
    </row>
    <row r="28" spans="1:14" s="240" customFormat="1" ht="26.25" customHeight="1" x14ac:dyDescent="0.4">
      <c r="A28" s="244" t="s">
        <v>120</v>
      </c>
      <c r="B28" s="243">
        <v>58.44</v>
      </c>
      <c r="C28" s="245"/>
      <c r="D28" s="246"/>
      <c r="E28" s="246"/>
      <c r="F28" s="246"/>
      <c r="G28" s="246"/>
      <c r="H28" s="237"/>
      <c r="I28" s="238"/>
      <c r="J28" s="238"/>
      <c r="K28" s="238"/>
      <c r="L28" s="238"/>
      <c r="M28" s="238"/>
      <c r="N28" s="239"/>
    </row>
    <row r="29" spans="1:14" s="240" customFormat="1" ht="26.25" customHeight="1" x14ac:dyDescent="0.4">
      <c r="A29" s="235" t="s">
        <v>121</v>
      </c>
      <c r="B29" s="247">
        <v>0.1</v>
      </c>
      <c r="C29" s="245"/>
      <c r="D29" s="246"/>
      <c r="E29" s="246"/>
      <c r="F29" s="246"/>
      <c r="G29" s="246"/>
      <c r="H29" s="237"/>
      <c r="I29" s="238"/>
      <c r="J29" s="238"/>
      <c r="K29" s="238"/>
      <c r="L29" s="238"/>
      <c r="M29" s="238"/>
      <c r="N29" s="239"/>
    </row>
    <row r="30" spans="1:14" s="240" customFormat="1" ht="18.75" x14ac:dyDescent="0.3">
      <c r="A30" s="248" t="s">
        <v>122</v>
      </c>
      <c r="B30" s="249">
        <v>1</v>
      </c>
      <c r="C30" s="250" t="s">
        <v>123</v>
      </c>
      <c r="D30" s="249">
        <v>1</v>
      </c>
      <c r="F30" s="237"/>
      <c r="G30" s="237"/>
      <c r="H30" s="237"/>
      <c r="I30" s="238"/>
      <c r="J30" s="238"/>
      <c r="K30" s="238"/>
      <c r="L30" s="238"/>
      <c r="M30" s="238"/>
      <c r="N30" s="239"/>
    </row>
    <row r="31" spans="1:14" s="240" customFormat="1" ht="18.75" x14ac:dyDescent="0.3">
      <c r="A31" s="235"/>
      <c r="B31" s="236"/>
      <c r="C31" s="237"/>
      <c r="D31" s="237"/>
      <c r="E31" s="237"/>
      <c r="F31" s="237"/>
      <c r="G31" s="237"/>
      <c r="H31" s="237"/>
      <c r="I31" s="238"/>
      <c r="J31" s="238"/>
      <c r="K31" s="238"/>
      <c r="L31" s="238"/>
      <c r="M31" s="238"/>
      <c r="N31" s="239"/>
    </row>
    <row r="32" spans="1:14" s="240" customFormat="1" ht="19.5" customHeight="1" thickBot="1" x14ac:dyDescent="0.35">
      <c r="A32" s="235"/>
      <c r="B32" s="236"/>
      <c r="C32" s="237"/>
      <c r="D32" s="237"/>
      <c r="E32" s="237"/>
      <c r="F32" s="237"/>
      <c r="G32" s="237"/>
      <c r="H32" s="237"/>
      <c r="I32" s="238"/>
      <c r="J32" s="238"/>
      <c r="K32" s="238"/>
      <c r="L32" s="238"/>
      <c r="M32" s="238"/>
      <c r="N32" s="239"/>
    </row>
    <row r="33" spans="1:14" s="240" customFormat="1" ht="19.5" customHeight="1" thickBot="1" x14ac:dyDescent="0.35">
      <c r="A33" s="251" t="s">
        <v>124</v>
      </c>
      <c r="B33" s="251" t="s">
        <v>125</v>
      </c>
      <c r="C33" s="252" t="s">
        <v>126</v>
      </c>
      <c r="D33" s="251" t="s">
        <v>127</v>
      </c>
      <c r="E33" s="253" t="s">
        <v>128</v>
      </c>
      <c r="F33" s="253" t="s">
        <v>129</v>
      </c>
      <c r="G33" s="251" t="s">
        <v>130</v>
      </c>
      <c r="J33" s="238"/>
      <c r="K33" s="238"/>
      <c r="L33" s="238"/>
      <c r="M33" s="238"/>
      <c r="N33" s="239"/>
    </row>
    <row r="34" spans="1:14" s="240" customFormat="1" ht="26.25" customHeight="1" x14ac:dyDescent="0.4">
      <c r="A34" s="254" t="s">
        <v>131</v>
      </c>
      <c r="B34" s="255">
        <v>50.34</v>
      </c>
      <c r="C34" s="256">
        <f>IF(ISBLANK(B34), "-",B34/$B$28*($B$30/$D$30))</f>
        <v>0.86139630390143751</v>
      </c>
      <c r="D34" s="257">
        <v>8.5679999999999996</v>
      </c>
      <c r="E34" s="258">
        <f>IF(ISBLANK(B34), "-",C34/D34)</f>
        <v>0.10053645003518179</v>
      </c>
      <c r="F34" s="259">
        <f>IF(ISBLANK(B34), "-",(E34-$B$29)/$B$29)</f>
        <v>5.3645003518178191E-3</v>
      </c>
      <c r="G34" s="260">
        <f>IF(ISBLANK(B34),"-",E34/$B$29)</f>
        <v>1.0053645003518179</v>
      </c>
      <c r="J34" s="238"/>
      <c r="K34" s="238"/>
      <c r="L34" s="238"/>
      <c r="M34" s="238"/>
      <c r="N34" s="239"/>
    </row>
    <row r="35" spans="1:14" s="240" customFormat="1" ht="26.25" customHeight="1" x14ac:dyDescent="0.4">
      <c r="A35" s="261" t="s">
        <v>132</v>
      </c>
      <c r="B35" s="262">
        <v>50.28</v>
      </c>
      <c r="C35" s="263">
        <f>IF(ISBLANK(B35), "-",B35/$B$28*($B$30/$D$30))</f>
        <v>0.86036960985626287</v>
      </c>
      <c r="D35" s="264">
        <v>8.5619999999999994</v>
      </c>
      <c r="E35" s="265">
        <f>IF(ISBLANK(B35), "-",C35/D35)</f>
        <v>0.10048699017242034</v>
      </c>
      <c r="F35" s="266">
        <f>IF(ISBLANK(B35), "-",(E35-$B$29)/$B$29)</f>
        <v>4.869901724203346E-3</v>
      </c>
      <c r="G35" s="267">
        <f>IF(ISBLANK(B35),"-",E35/$B$29)</f>
        <v>1.0048699017242033</v>
      </c>
      <c r="J35" s="238"/>
      <c r="K35" s="238"/>
      <c r="L35" s="238"/>
      <c r="M35" s="238"/>
      <c r="N35" s="239"/>
    </row>
    <row r="36" spans="1:14" s="240" customFormat="1" ht="26.25" customHeight="1" x14ac:dyDescent="0.4">
      <c r="A36" s="261" t="s">
        <v>133</v>
      </c>
      <c r="B36" s="262">
        <v>50.41</v>
      </c>
      <c r="C36" s="263">
        <f>IF(ISBLANK(B36), "-",B36/$B$28*($B$30/$D$30))</f>
        <v>0.86259411362080762</v>
      </c>
      <c r="D36" s="264">
        <v>8.56</v>
      </c>
      <c r="E36" s="265">
        <f>IF(ISBLANK(B36), "-",C36/D36)</f>
        <v>0.10077034037626256</v>
      </c>
      <c r="F36" s="266">
        <f>IF(ISBLANK(B36), "-",(E36-$B$29)/$B$29)</f>
        <v>7.7034037626255714E-3</v>
      </c>
      <c r="G36" s="267">
        <f>IF(ISBLANK(B36),"-",E36/$B$29)</f>
        <v>1.0077034037626256</v>
      </c>
      <c r="J36" s="238"/>
      <c r="K36" s="238"/>
      <c r="L36" s="238"/>
      <c r="M36" s="238"/>
      <c r="N36" s="239"/>
    </row>
    <row r="37" spans="1:14" s="240" customFormat="1" ht="27" customHeight="1" thickBot="1" x14ac:dyDescent="0.45">
      <c r="A37" s="268" t="s">
        <v>134</v>
      </c>
      <c r="B37" s="269"/>
      <c r="C37" s="270" t="str">
        <f>IF(ISBLANK(B37), "-",B37/$B$28*($B$30/$D$30))</f>
        <v>-</v>
      </c>
      <c r="D37" s="271"/>
      <c r="E37" s="272" t="str">
        <f>IF(ISBLANK(B37), "-",C37/D37)</f>
        <v>-</v>
      </c>
      <c r="F37" s="273" t="str">
        <f>IF(ISBLANK(B37), "-",(E37-$B$29)/$B$29)</f>
        <v>-</v>
      </c>
      <c r="G37" s="274" t="str">
        <f>IF(ISBLANK(B37),"-",E37/$B$29)</f>
        <v>-</v>
      </c>
      <c r="J37" s="238"/>
      <c r="K37" s="238"/>
      <c r="L37" s="238"/>
      <c r="M37" s="238"/>
      <c r="N37" s="239"/>
    </row>
    <row r="38" spans="1:14" ht="19.5" customHeight="1" thickBot="1" x14ac:dyDescent="0.35">
      <c r="A38" s="239"/>
      <c r="B38" s="239"/>
      <c r="C38" s="239"/>
      <c r="D38" s="275" t="s">
        <v>135</v>
      </c>
      <c r="E38" s="276">
        <f>AVERAGE(E34:E37)</f>
        <v>0.10059792686128823</v>
      </c>
      <c r="F38" s="277">
        <f>AVERAGE(F34:F37)</f>
        <v>5.9792686128822452E-3</v>
      </c>
      <c r="G38" s="278">
        <f>AVERAGE(G34:G37)</f>
        <v>1.0059792686128821</v>
      </c>
      <c r="H38" s="239"/>
      <c r="L38" s="238"/>
      <c r="M38" s="238"/>
      <c r="N38" s="239"/>
    </row>
    <row r="39" spans="1:14" ht="18.75" x14ac:dyDescent="0.3">
      <c r="A39" s="239"/>
      <c r="B39" s="279"/>
      <c r="C39" s="280"/>
      <c r="D39" s="281" t="s">
        <v>87</v>
      </c>
      <c r="E39" s="282">
        <f>STDEV(E34:E37)/E38</f>
        <v>1.5044897854204103E-3</v>
      </c>
      <c r="F39" s="283"/>
      <c r="G39" s="239"/>
      <c r="H39" s="239"/>
    </row>
    <row r="40" spans="1:14" ht="19.5" customHeight="1" thickBot="1" x14ac:dyDescent="0.35">
      <c r="A40" s="239"/>
      <c r="B40" s="279"/>
      <c r="C40" s="280"/>
      <c r="D40" s="284" t="s">
        <v>20</v>
      </c>
      <c r="E40" s="285">
        <f>COUNT(E34:E37)</f>
        <v>3</v>
      </c>
      <c r="F40" s="286"/>
      <c r="G40" s="239"/>
      <c r="H40" s="239"/>
    </row>
    <row r="41" spans="1:14" ht="18.75" x14ac:dyDescent="0.3">
      <c r="A41" s="287"/>
      <c r="B41" s="288"/>
      <c r="C41" s="279"/>
      <c r="D41" s="279"/>
      <c r="E41" s="279"/>
      <c r="F41" s="289"/>
      <c r="G41" s="239"/>
      <c r="H41" s="239"/>
    </row>
    <row r="43" spans="1:14" ht="18.75" x14ac:dyDescent="0.3">
      <c r="A43" s="290" t="s">
        <v>1</v>
      </c>
      <c r="B43" s="234" t="s">
        <v>88</v>
      </c>
    </row>
    <row r="44" spans="1:14" ht="18.75" x14ac:dyDescent="0.3">
      <c r="A44" s="235" t="s">
        <v>89</v>
      </c>
      <c r="B44" s="291" t="str">
        <f>B21</f>
        <v>Each box contains 1 vial of Artesunate 60 mg for injection, 1 ampoule of sodium bicarbonate 50 mg/mL injection and 1 ampoule of sodium chloride 9 mg/mL injection.</v>
      </c>
    </row>
    <row r="45" spans="1:14" ht="18.75" x14ac:dyDescent="0.3">
      <c r="A45" s="291"/>
      <c r="B45" s="292"/>
      <c r="H45" s="293"/>
    </row>
    <row r="46" spans="1:14" ht="26.25" customHeight="1" x14ac:dyDescent="0.4">
      <c r="A46" s="291" t="s">
        <v>136</v>
      </c>
      <c r="B46" s="294">
        <v>1</v>
      </c>
      <c r="C46" s="237" t="s">
        <v>137</v>
      </c>
      <c r="D46" s="295">
        <v>9</v>
      </c>
      <c r="E46" s="237" t="str">
        <f>B20</f>
        <v>CHLORIDE</v>
      </c>
      <c r="H46" s="293"/>
    </row>
    <row r="47" spans="1:14" ht="18.75" x14ac:dyDescent="0.3">
      <c r="A47" s="291"/>
      <c r="B47" s="296"/>
      <c r="H47" s="293"/>
    </row>
    <row r="48" spans="1:14" ht="26.25" customHeight="1" x14ac:dyDescent="0.4">
      <c r="A48" s="235" t="s">
        <v>138</v>
      </c>
      <c r="B48" s="297">
        <v>5.8440000000000003</v>
      </c>
      <c r="C48" s="239" t="str">
        <f>B20</f>
        <v>CHLORIDE</v>
      </c>
      <c r="H48" s="293"/>
    </row>
    <row r="49" spans="1:10" ht="19.5" customHeight="1" thickBot="1" x14ac:dyDescent="0.35">
      <c r="A49" s="239"/>
      <c r="B49" s="239"/>
      <c r="C49" s="239"/>
      <c r="D49" s="239"/>
      <c r="H49" s="293"/>
    </row>
    <row r="50" spans="1:10" ht="19.5" customHeight="1" thickBot="1" x14ac:dyDescent="0.35">
      <c r="C50" s="239"/>
      <c r="D50" s="239"/>
      <c r="E50" s="239"/>
      <c r="F50" s="239"/>
      <c r="G50" s="508" t="s">
        <v>139</v>
      </c>
      <c r="H50" s="509"/>
      <c r="J50" s="298"/>
    </row>
    <row r="51" spans="1:10" ht="19.5" customHeight="1" thickBot="1" x14ac:dyDescent="0.35">
      <c r="A51" s="299" t="s">
        <v>140</v>
      </c>
      <c r="B51" s="251" t="s">
        <v>141</v>
      </c>
      <c r="C51" s="251" t="s">
        <v>142</v>
      </c>
      <c r="D51" s="251" t="s">
        <v>143</v>
      </c>
      <c r="E51" s="251" t="s">
        <v>144</v>
      </c>
      <c r="F51" s="300" t="s">
        <v>145</v>
      </c>
      <c r="G51" s="251" t="s">
        <v>146</v>
      </c>
      <c r="H51" s="251" t="s">
        <v>147</v>
      </c>
      <c r="I51" s="301" t="s">
        <v>148</v>
      </c>
      <c r="J51" s="302"/>
    </row>
    <row r="52" spans="1:10" ht="26.25" customHeight="1" x14ac:dyDescent="0.4">
      <c r="A52" s="303" t="s">
        <v>131</v>
      </c>
      <c r="B52" s="304">
        <v>4</v>
      </c>
      <c r="C52" s="305">
        <v>6.05</v>
      </c>
      <c r="D52" s="306">
        <v>0</v>
      </c>
      <c r="E52" s="307">
        <f>IF(ISBLANK(B52),"-",C52-$D$56)</f>
        <v>6.05</v>
      </c>
      <c r="F52" s="308">
        <f>IF(ISBLANK(B52), "-",E52*$G$38)</f>
        <v>6.086174575107937</v>
      </c>
      <c r="G52" s="309">
        <f>IF(ISBLANK(B52),"-",F52*$B$48)</f>
        <v>35.567604216930789</v>
      </c>
      <c r="H52" s="310">
        <f>IF(ISBLANK(B52),"-",G52*$B$46/B52)</f>
        <v>8.8919010542326973</v>
      </c>
      <c r="I52" s="259">
        <f>IF(ISBLANK(B52),"-",H52/$D$46)</f>
        <v>0.98798900602585527</v>
      </c>
      <c r="J52" s="311"/>
    </row>
    <row r="53" spans="1:10" ht="26.25" customHeight="1" x14ac:dyDescent="0.4">
      <c r="A53" s="312" t="s">
        <v>132</v>
      </c>
      <c r="B53" s="313">
        <v>4</v>
      </c>
      <c r="C53" s="314">
        <v>6.0389999999999997</v>
      </c>
      <c r="D53" s="315">
        <v>0</v>
      </c>
      <c r="E53" s="316">
        <f>IF(ISBLANK(B53),"-",C53-$D$56)</f>
        <v>6.0389999999999997</v>
      </c>
      <c r="F53" s="317">
        <f>IF(ISBLANK(B53), "-",E53*$G$38)</f>
        <v>6.0751088031531948</v>
      </c>
      <c r="G53" s="318">
        <f>IF(ISBLANK(B53),"-",F53*$B$48)</f>
        <v>35.50293584562727</v>
      </c>
      <c r="H53" s="319">
        <f>IF(ISBLANK(B53),"-",G53*$B$46/B53)</f>
        <v>8.8757339614068176</v>
      </c>
      <c r="I53" s="266">
        <f>IF(ISBLANK(B53),"-",H53/$D$46)</f>
        <v>0.98619266237853531</v>
      </c>
      <c r="J53" s="311"/>
    </row>
    <row r="54" spans="1:10" ht="26.25" customHeight="1" x14ac:dyDescent="0.4">
      <c r="A54" s="312" t="s">
        <v>133</v>
      </c>
      <c r="B54" s="313">
        <v>4</v>
      </c>
      <c r="C54" s="314">
        <v>6.1319999999999997</v>
      </c>
      <c r="D54" s="315">
        <v>0</v>
      </c>
      <c r="E54" s="316">
        <f>IF(ISBLANK(B54),"-",C54-$D$56)</f>
        <v>6.1319999999999997</v>
      </c>
      <c r="F54" s="317">
        <f>IF(ISBLANK(B54), "-",E54*$G$38)</f>
        <v>6.1686648751341924</v>
      </c>
      <c r="G54" s="318">
        <f>IF(ISBLANK(B54),"-",F54*$B$48)</f>
        <v>36.049677530284221</v>
      </c>
      <c r="H54" s="319">
        <f>IF(ISBLANK(B54),"-",G54*$B$46/B54)</f>
        <v>9.0124193825710552</v>
      </c>
      <c r="I54" s="266">
        <f>IF(ISBLANK(B54),"-",H54/$D$46)</f>
        <v>1.0013799313967839</v>
      </c>
      <c r="J54" s="311"/>
    </row>
    <row r="55" spans="1:10" ht="27" customHeight="1" thickBot="1" x14ac:dyDescent="0.45">
      <c r="A55" s="320" t="s">
        <v>134</v>
      </c>
      <c r="B55" s="321"/>
      <c r="C55" s="322"/>
      <c r="D55" s="323"/>
      <c r="E55" s="324" t="str">
        <f>IF(ISBLANK(B55),"-",C55-$D$56)</f>
        <v>-</v>
      </c>
      <c r="F55" s="325" t="str">
        <f>IF(ISBLANK(B55), "-",E55*$G$38)</f>
        <v>-</v>
      </c>
      <c r="G55" s="326" t="str">
        <f>IF(ISBLANK(B55),"-",F55*$B$48)</f>
        <v>-</v>
      </c>
      <c r="H55" s="327" t="str">
        <f>IF(ISBLANK(B55),"-",G55*$B$46/B55)</f>
        <v>-</v>
      </c>
      <c r="I55" s="266" t="str">
        <f>IF(ISBLANK(B55),"-",H55/$D$46)</f>
        <v>-</v>
      </c>
      <c r="J55" s="286"/>
    </row>
    <row r="56" spans="1:10" ht="26.25" customHeight="1" x14ac:dyDescent="0.4">
      <c r="C56" s="328" t="s">
        <v>135</v>
      </c>
      <c r="D56" s="329">
        <f>AVERAGE(D52:D55)</f>
        <v>0</v>
      </c>
      <c r="F56" s="328" t="s">
        <v>135</v>
      </c>
      <c r="G56" s="330">
        <f>AVERAGE(G52:G55)</f>
        <v>35.706739197614091</v>
      </c>
      <c r="H56" s="331">
        <f>AVERAGE(H52:H55)</f>
        <v>8.9266847994035228</v>
      </c>
      <c r="I56" s="332">
        <f>AVERAGE(I52:I55)</f>
        <v>0.99185386660039165</v>
      </c>
      <c r="J56" s="333"/>
    </row>
    <row r="57" spans="1:10" ht="26.25" customHeight="1" x14ac:dyDescent="0.4">
      <c r="B57" s="223" t="str">
        <f>[1]Uniformity!C46</f>
        <v>% Deviation from mean</v>
      </c>
      <c r="C57" s="281" t="s">
        <v>87</v>
      </c>
      <c r="D57" s="282" t="str">
        <f>IF(D56=0,"-",STDEV(D52:D55)/D56)</f>
        <v>-</v>
      </c>
      <c r="F57" s="281" t="s">
        <v>87</v>
      </c>
      <c r="G57" s="334"/>
      <c r="H57" s="335">
        <f>STDEV(H52:H55)/H56</f>
        <v>8.3667192690076633E-3</v>
      </c>
      <c r="I57" s="336">
        <f>STDEV(I52:I55)/I56</f>
        <v>8.3667192690076633E-3</v>
      </c>
      <c r="J57" s="337"/>
    </row>
    <row r="58" spans="1:10" ht="27" customHeight="1" thickBot="1" x14ac:dyDescent="0.45">
      <c r="C58" s="284" t="s">
        <v>20</v>
      </c>
      <c r="D58" s="285">
        <f>COUNT(D52:D55)</f>
        <v>3</v>
      </c>
      <c r="F58" s="284" t="s">
        <v>20</v>
      </c>
      <c r="G58" s="338">
        <f>COUNT(G52:G55)</f>
        <v>3</v>
      </c>
      <c r="H58" s="339">
        <f>COUNT(H52:H55)</f>
        <v>3</v>
      </c>
      <c r="I58" s="338">
        <f>COUNT(I52:I55)</f>
        <v>3</v>
      </c>
      <c r="J58" s="340"/>
    </row>
    <row r="59" spans="1:10" ht="18.75" x14ac:dyDescent="0.3">
      <c r="H59" s="293"/>
      <c r="J59" s="239"/>
    </row>
    <row r="60" spans="1:10" ht="18.75" x14ac:dyDescent="0.3">
      <c r="H60" s="293"/>
    </row>
    <row r="61" spans="1:10" ht="19.5" customHeight="1" thickBot="1" x14ac:dyDescent="0.35">
      <c r="A61" s="341"/>
      <c r="B61" s="341"/>
      <c r="C61" s="342"/>
      <c r="D61" s="342"/>
      <c r="E61" s="342"/>
      <c r="F61" s="342"/>
      <c r="G61" s="342"/>
      <c r="H61" s="342"/>
    </row>
    <row r="62" spans="1:10" ht="18.75" x14ac:dyDescent="0.3">
      <c r="B62" s="510" t="s">
        <v>26</v>
      </c>
      <c r="C62" s="510"/>
      <c r="E62" s="343" t="s">
        <v>27</v>
      </c>
      <c r="F62" s="344"/>
      <c r="G62" s="510" t="s">
        <v>28</v>
      </c>
      <c r="H62" s="510"/>
    </row>
    <row r="63" spans="1:10" ht="83.25" customHeight="1" x14ac:dyDescent="0.3">
      <c r="A63" s="345" t="s">
        <v>29</v>
      </c>
      <c r="B63" s="346"/>
      <c r="C63" s="346"/>
      <c r="E63" s="347"/>
      <c r="F63" s="237"/>
      <c r="G63" s="347"/>
      <c r="H63" s="347"/>
    </row>
    <row r="64" spans="1:10" ht="84" customHeight="1" x14ac:dyDescent="0.3">
      <c r="A64" s="345" t="s">
        <v>30</v>
      </c>
      <c r="B64" s="348"/>
      <c r="C64" s="348"/>
      <c r="E64" s="349"/>
      <c r="F64" s="237"/>
      <c r="G64" s="350"/>
      <c r="H64" s="350"/>
    </row>
    <row r="65" spans="1:9" ht="18.75" x14ac:dyDescent="0.3">
      <c r="A65" s="293"/>
      <c r="B65" s="293"/>
      <c r="C65" s="293"/>
      <c r="D65" s="293"/>
      <c r="E65" s="293"/>
      <c r="F65" s="351"/>
      <c r="G65" s="293"/>
      <c r="H65" s="293"/>
      <c r="I65" s="239"/>
    </row>
    <row r="66" spans="1:9" ht="18.75" x14ac:dyDescent="0.3">
      <c r="A66" s="293"/>
      <c r="B66" s="293"/>
      <c r="C66" s="293"/>
      <c r="D66" s="293"/>
      <c r="E66" s="293"/>
      <c r="F66" s="351"/>
      <c r="G66" s="293"/>
      <c r="H66" s="293"/>
      <c r="I66" s="239"/>
    </row>
    <row r="67" spans="1:9" ht="18.75" x14ac:dyDescent="0.3">
      <c r="A67" s="293"/>
      <c r="B67" s="293"/>
      <c r="C67" s="293"/>
      <c r="D67" s="293"/>
      <c r="E67" s="293"/>
      <c r="F67" s="351"/>
      <c r="G67" s="293"/>
      <c r="H67" s="293"/>
      <c r="I67" s="239"/>
    </row>
    <row r="68" spans="1:9" ht="18.75" x14ac:dyDescent="0.3">
      <c r="A68" s="293"/>
      <c r="B68" s="293"/>
      <c r="C68" s="293"/>
      <c r="D68" s="293"/>
      <c r="E68" s="293"/>
      <c r="F68" s="351"/>
      <c r="G68" s="293"/>
      <c r="H68" s="293"/>
      <c r="I68" s="239"/>
    </row>
    <row r="69" spans="1:9" ht="18.75" x14ac:dyDescent="0.3">
      <c r="A69" s="293"/>
      <c r="B69" s="293"/>
      <c r="C69" s="293"/>
      <c r="D69" s="293"/>
      <c r="E69" s="293"/>
      <c r="F69" s="351"/>
      <c r="G69" s="293"/>
      <c r="H69" s="293"/>
      <c r="I69" s="239"/>
    </row>
    <row r="70" spans="1:9" ht="18.75" x14ac:dyDescent="0.3">
      <c r="A70" s="293"/>
      <c r="B70" s="293"/>
      <c r="C70" s="293"/>
      <c r="D70" s="293"/>
      <c r="E70" s="293"/>
      <c r="F70" s="351"/>
      <c r="G70" s="293"/>
      <c r="H70" s="293"/>
      <c r="I70" s="239"/>
    </row>
    <row r="71" spans="1:9" ht="18.75" x14ac:dyDescent="0.3">
      <c r="A71" s="293"/>
      <c r="B71" s="293"/>
      <c r="C71" s="293"/>
      <c r="D71" s="293"/>
      <c r="E71" s="293"/>
      <c r="F71" s="351"/>
      <c r="G71" s="293"/>
      <c r="H71" s="293"/>
      <c r="I71" s="239"/>
    </row>
    <row r="72" spans="1:9" ht="18.75" x14ac:dyDescent="0.3">
      <c r="A72" s="293"/>
      <c r="B72" s="293"/>
      <c r="C72" s="293"/>
      <c r="D72" s="293"/>
      <c r="E72" s="293"/>
      <c r="F72" s="351"/>
      <c r="G72" s="293"/>
      <c r="H72" s="293"/>
      <c r="I72" s="239"/>
    </row>
    <row r="73" spans="1:9" ht="18.75" x14ac:dyDescent="0.3">
      <c r="A73" s="293"/>
      <c r="B73" s="293"/>
      <c r="C73" s="293"/>
      <c r="D73" s="293"/>
      <c r="E73" s="293"/>
      <c r="F73" s="351"/>
      <c r="G73" s="293"/>
      <c r="H73" s="293"/>
      <c r="I73" s="239"/>
    </row>
    <row r="250" spans="1:1" x14ac:dyDescent="0.3">
      <c r="A250" s="223">
        <v>0</v>
      </c>
    </row>
  </sheetData>
  <sheetProtection password="F258" sheet="1" objects="1" scenarios="1"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Layout" topLeftCell="A46" zoomScale="43" zoomScaleNormal="75" zoomScalePageLayoutView="43" workbookViewId="0">
      <selection activeCell="C56" sqref="C56"/>
    </sheetView>
  </sheetViews>
  <sheetFormatPr defaultRowHeight="18.75" x14ac:dyDescent="0.3"/>
  <cols>
    <col min="1" max="1" width="42.85546875" style="353" customWidth="1"/>
    <col min="2" max="2" width="34.85546875" style="353" customWidth="1"/>
    <col min="3" max="3" width="33.28515625" style="353" customWidth="1"/>
    <col min="4" max="4" width="30.5703125" style="353" customWidth="1"/>
    <col min="5" max="5" width="33.5703125" style="353" customWidth="1"/>
    <col min="6" max="6" width="39.85546875" style="353" customWidth="1"/>
    <col min="7" max="7" width="31.7109375" style="353" customWidth="1"/>
    <col min="8" max="8" width="31.140625" style="353" customWidth="1"/>
    <col min="9" max="9" width="32.28515625" style="352" customWidth="1"/>
    <col min="10" max="10" width="22.28515625" style="352" customWidth="1"/>
    <col min="11" max="11" width="19.5703125" style="352" customWidth="1"/>
    <col min="12" max="12" width="21.140625" style="352" customWidth="1"/>
    <col min="13" max="13" width="9.140625" style="352" customWidth="1"/>
    <col min="14" max="16384" width="9.140625" style="463"/>
  </cols>
  <sheetData>
    <row r="1" spans="1:9" ht="15" x14ac:dyDescent="0.3">
      <c r="A1" s="511" t="s">
        <v>115</v>
      </c>
      <c r="B1" s="511"/>
      <c r="C1" s="511"/>
      <c r="D1" s="511"/>
      <c r="E1" s="511"/>
      <c r="F1" s="511"/>
      <c r="G1" s="511"/>
      <c r="H1" s="511"/>
      <c r="I1" s="511"/>
    </row>
    <row r="2" spans="1:9" ht="15" x14ac:dyDescent="0.3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5" x14ac:dyDescent="0.3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5" x14ac:dyDescent="0.3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5" x14ac:dyDescent="0.3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5" x14ac:dyDescent="0.3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5" x14ac:dyDescent="0.3">
      <c r="A7" s="511"/>
      <c r="B7" s="511"/>
      <c r="C7" s="511"/>
      <c r="D7" s="511"/>
      <c r="E7" s="511"/>
      <c r="F7" s="511"/>
      <c r="G7" s="511"/>
      <c r="H7" s="511"/>
      <c r="I7" s="511"/>
    </row>
    <row r="8" spans="1:9" ht="15" x14ac:dyDescent="0.3">
      <c r="A8" s="512" t="s">
        <v>50</v>
      </c>
      <c r="B8" s="512"/>
      <c r="C8" s="512"/>
      <c r="D8" s="512"/>
      <c r="E8" s="512"/>
      <c r="F8" s="512"/>
      <c r="G8" s="512"/>
      <c r="H8" s="512"/>
      <c r="I8" s="512"/>
    </row>
    <row r="9" spans="1:9" ht="15" x14ac:dyDescent="0.3">
      <c r="A9" s="512"/>
      <c r="B9" s="512"/>
      <c r="C9" s="512"/>
      <c r="D9" s="512"/>
      <c r="E9" s="512"/>
      <c r="F9" s="512"/>
      <c r="G9" s="512"/>
      <c r="H9" s="512"/>
      <c r="I9" s="512"/>
    </row>
    <row r="10" spans="1:9" ht="15" x14ac:dyDescent="0.3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ht="15" x14ac:dyDescent="0.3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ht="15" x14ac:dyDescent="0.3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ht="15" x14ac:dyDescent="0.3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ht="15" x14ac:dyDescent="0.3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thickBot="1" x14ac:dyDescent="0.35"/>
    <row r="16" spans="1:9" ht="19.5" customHeight="1" thickBot="1" x14ac:dyDescent="0.35">
      <c r="A16" s="513" t="s">
        <v>31</v>
      </c>
      <c r="B16" s="514"/>
      <c r="C16" s="514"/>
      <c r="D16" s="514"/>
      <c r="E16" s="514"/>
      <c r="F16" s="514"/>
      <c r="G16" s="514"/>
      <c r="H16" s="515"/>
    </row>
    <row r="17" spans="1:8" x14ac:dyDescent="0.3">
      <c r="A17" s="516" t="s">
        <v>51</v>
      </c>
      <c r="B17" s="516"/>
      <c r="C17" s="516"/>
      <c r="D17" s="516"/>
      <c r="E17" s="516"/>
      <c r="F17" s="516"/>
      <c r="G17" s="516"/>
      <c r="H17" s="516"/>
    </row>
    <row r="18" spans="1:8" ht="26.25" customHeight="1" x14ac:dyDescent="0.3">
      <c r="A18" s="354" t="s">
        <v>33</v>
      </c>
      <c r="B18" s="355" t="s">
        <v>116</v>
      </c>
      <c r="C18" s="356"/>
      <c r="D18" s="356"/>
      <c r="E18" s="356"/>
    </row>
    <row r="19" spans="1:8" ht="26.25" customHeight="1" x14ac:dyDescent="0.3">
      <c r="A19" s="354" t="s">
        <v>34</v>
      </c>
      <c r="B19" s="357" t="s">
        <v>7</v>
      </c>
      <c r="C19" s="358">
        <v>26</v>
      </c>
    </row>
    <row r="20" spans="1:8" ht="26.25" customHeight="1" x14ac:dyDescent="0.3">
      <c r="A20" s="354" t="s">
        <v>35</v>
      </c>
      <c r="B20" s="357" t="s">
        <v>149</v>
      </c>
    </row>
    <row r="21" spans="1:8" ht="26.25" customHeight="1" x14ac:dyDescent="0.3">
      <c r="A21" s="354" t="s">
        <v>37</v>
      </c>
      <c r="B21" s="359" t="s">
        <v>11</v>
      </c>
    </row>
    <row r="22" spans="1:8" ht="26.25" customHeight="1" x14ac:dyDescent="0.3">
      <c r="A22" s="354" t="s">
        <v>38</v>
      </c>
      <c r="B22" s="359">
        <v>43090</v>
      </c>
    </row>
    <row r="23" spans="1:8" x14ac:dyDescent="0.3">
      <c r="A23" s="354"/>
      <c r="B23" s="360"/>
    </row>
    <row r="24" spans="1:8" x14ac:dyDescent="0.3">
      <c r="A24" s="361" t="s">
        <v>1</v>
      </c>
      <c r="B24" s="362" t="s">
        <v>150</v>
      </c>
    </row>
    <row r="25" spans="1:8" x14ac:dyDescent="0.3">
      <c r="A25" s="361"/>
      <c r="B25" s="362"/>
    </row>
    <row r="26" spans="1:8" ht="26.25" customHeight="1" x14ac:dyDescent="0.4">
      <c r="A26" s="363" t="s">
        <v>151</v>
      </c>
      <c r="B26" s="364" t="s">
        <v>152</v>
      </c>
      <c r="C26" s="365"/>
      <c r="D26" s="358"/>
      <c r="E26" s="358"/>
      <c r="F26" s="358"/>
    </row>
    <row r="27" spans="1:8" ht="26.25" customHeight="1" x14ac:dyDescent="0.4">
      <c r="A27" s="366" t="s">
        <v>4</v>
      </c>
      <c r="B27" s="367" t="s">
        <v>153</v>
      </c>
      <c r="C27" s="365"/>
      <c r="D27" s="368"/>
      <c r="E27" s="368"/>
      <c r="F27" s="368"/>
      <c r="G27" s="368"/>
    </row>
    <row r="28" spans="1:8" ht="26.25" customHeight="1" x14ac:dyDescent="0.4">
      <c r="A28" s="369" t="s">
        <v>120</v>
      </c>
      <c r="B28" s="365">
        <v>105.99</v>
      </c>
      <c r="C28" s="370"/>
      <c r="D28" s="371"/>
      <c r="E28" s="371"/>
      <c r="F28" s="371"/>
      <c r="G28" s="371"/>
    </row>
    <row r="29" spans="1:8" ht="26.25" customHeight="1" x14ac:dyDescent="0.4">
      <c r="A29" s="372" t="s">
        <v>121</v>
      </c>
      <c r="B29" s="373">
        <v>0.5</v>
      </c>
      <c r="C29" s="370"/>
      <c r="D29" s="371"/>
      <c r="E29" s="371"/>
      <c r="F29" s="371"/>
      <c r="G29" s="371"/>
    </row>
    <row r="30" spans="1:8" x14ac:dyDescent="0.3">
      <c r="A30" s="372"/>
      <c r="E30" s="371"/>
      <c r="F30" s="371"/>
      <c r="G30" s="371"/>
    </row>
    <row r="31" spans="1:8" ht="26.25" customHeight="1" x14ac:dyDescent="0.4">
      <c r="A31" s="374" t="s">
        <v>122</v>
      </c>
      <c r="B31" s="365">
        <v>2</v>
      </c>
      <c r="C31" s="375" t="s">
        <v>123</v>
      </c>
      <c r="D31" s="365">
        <v>1</v>
      </c>
      <c r="E31" s="368"/>
      <c r="F31" s="358"/>
    </row>
    <row r="32" spans="1:8" ht="19.5" customHeight="1" thickBot="1" x14ac:dyDescent="0.35">
      <c r="A32" s="372"/>
      <c r="B32" s="376"/>
      <c r="C32" s="358"/>
      <c r="D32" s="358"/>
      <c r="E32" s="358"/>
      <c r="F32" s="358"/>
    </row>
    <row r="33" spans="1:8" ht="19.5" customHeight="1" thickBot="1" x14ac:dyDescent="0.35">
      <c r="A33" s="377" t="s">
        <v>124</v>
      </c>
      <c r="B33" s="377" t="s">
        <v>125</v>
      </c>
      <c r="C33" s="378" t="s">
        <v>126</v>
      </c>
      <c r="D33" s="377" t="s">
        <v>127</v>
      </c>
      <c r="E33" s="379" t="s">
        <v>128</v>
      </c>
      <c r="F33" s="379" t="s">
        <v>129</v>
      </c>
      <c r="G33" s="377" t="s">
        <v>130</v>
      </c>
    </row>
    <row r="34" spans="1:8" ht="26.25" customHeight="1" x14ac:dyDescent="0.4">
      <c r="A34" s="380" t="s">
        <v>131</v>
      </c>
      <c r="B34" s="381">
        <v>100.38</v>
      </c>
      <c r="C34" s="382">
        <f>IF(ISBLANK(B34), "-",B34/$B$28*($B$31/$D$31))</f>
        <v>1.8941409566940277</v>
      </c>
      <c r="D34" s="383">
        <v>3.8</v>
      </c>
      <c r="E34" s="384">
        <f>IF(ISBLANK(B34), "-",C34/D34)</f>
        <v>0.49845814649842834</v>
      </c>
      <c r="F34" s="385">
        <f>IF(ISBLANK(B34), "-",(E34-$B$29)/$B$29)</f>
        <v>-3.08370700314331E-3</v>
      </c>
      <c r="G34" s="386">
        <f>IF(ISBLANK(B34),"-",E34/$B$29)</f>
        <v>0.99691629299685669</v>
      </c>
    </row>
    <row r="35" spans="1:8" ht="26.25" customHeight="1" x14ac:dyDescent="0.4">
      <c r="A35" s="387" t="s">
        <v>132</v>
      </c>
      <c r="B35" s="388">
        <v>100.34</v>
      </c>
      <c r="C35" s="389">
        <f>IF(ISBLANK(B35), "-",B35/$B$28*($B$31/$D$31))</f>
        <v>1.893386168506463</v>
      </c>
      <c r="D35" s="390">
        <v>3.8</v>
      </c>
      <c r="E35" s="391">
        <f>IF(ISBLANK(B35), "-",C35/D35)</f>
        <v>0.4982595180280166</v>
      </c>
      <c r="F35" s="392">
        <f>IF(ISBLANK(B35), "-",(E35-$B$29)/$B$29)</f>
        <v>-3.4809639439667972E-3</v>
      </c>
      <c r="G35" s="393">
        <f>IF(ISBLANK(B35),"-",E35/$B$29)</f>
        <v>0.9965190360560332</v>
      </c>
    </row>
    <row r="36" spans="1:8" ht="26.25" customHeight="1" x14ac:dyDescent="0.4">
      <c r="A36" s="387" t="s">
        <v>133</v>
      </c>
      <c r="B36" s="388">
        <v>100.15</v>
      </c>
      <c r="C36" s="389">
        <f>IF(ISBLANK(B36), "-",B36/$B$28*($B$31/$D$31))</f>
        <v>1.8898009246155301</v>
      </c>
      <c r="D36" s="390">
        <v>3.8</v>
      </c>
      <c r="E36" s="391">
        <f>IF(ISBLANK(B36), "-",C36/D36)</f>
        <v>0.49731603279356057</v>
      </c>
      <c r="F36" s="392">
        <f>IF(ISBLANK(B36), "-",(E36-$B$29)/$B$29)</f>
        <v>-5.3679344128788609E-3</v>
      </c>
      <c r="G36" s="393">
        <f>IF(ISBLANK(B36),"-",E36/$B$29)</f>
        <v>0.99463206558712114</v>
      </c>
    </row>
    <row r="37" spans="1:8" ht="27" customHeight="1" thickBot="1" x14ac:dyDescent="0.45">
      <c r="A37" s="394" t="s">
        <v>134</v>
      </c>
      <c r="B37" s="395"/>
      <c r="C37" s="396" t="str">
        <f>IF(ISBLANK(B37), "-",B37/$B$28*($B$31/$D$31))</f>
        <v>-</v>
      </c>
      <c r="D37" s="397"/>
      <c r="E37" s="398" t="str">
        <f>IF(ISBLANK(B37), "-",C37/D37)</f>
        <v>-</v>
      </c>
      <c r="F37" s="399" t="str">
        <f>IF(ISBLANK(B37), "-",(E37-$B$29)/$B$29)</f>
        <v>-</v>
      </c>
      <c r="G37" s="400" t="str">
        <f>IF(ISBLANK(B37),"-",E37/$B$29)</f>
        <v>-</v>
      </c>
    </row>
    <row r="38" spans="1:8" ht="19.5" customHeight="1" thickBot="1" x14ac:dyDescent="0.35">
      <c r="A38" s="368"/>
      <c r="B38" s="368"/>
      <c r="C38" s="368"/>
      <c r="D38" s="401" t="s">
        <v>135</v>
      </c>
      <c r="E38" s="402">
        <f>AVERAGE(E34:E37)</f>
        <v>0.49801123244000184</v>
      </c>
      <c r="F38" s="403">
        <f>AVERAGE(F34:F37)</f>
        <v>-3.9775351199963227E-3</v>
      </c>
      <c r="G38" s="404">
        <f>AVERAGE(G34:G37)</f>
        <v>0.99602246488000368</v>
      </c>
    </row>
    <row r="39" spans="1:8" x14ac:dyDescent="0.3">
      <c r="A39" s="368"/>
      <c r="B39" s="405"/>
      <c r="C39" s="406"/>
      <c r="D39" s="407" t="s">
        <v>87</v>
      </c>
      <c r="E39" s="408">
        <f>STDEV(E34:E37)/E38</f>
        <v>1.2252672975813623E-3</v>
      </c>
      <c r="F39" s="409"/>
      <c r="G39" s="368"/>
    </row>
    <row r="40" spans="1:8" ht="19.5" customHeight="1" thickBot="1" x14ac:dyDescent="0.35">
      <c r="A40" s="368"/>
      <c r="B40" s="405"/>
      <c r="C40" s="406"/>
      <c r="D40" s="410" t="s">
        <v>20</v>
      </c>
      <c r="E40" s="411">
        <f>COUNT(E34:E37)</f>
        <v>3</v>
      </c>
      <c r="F40" s="412"/>
      <c r="G40" s="368"/>
    </row>
    <row r="41" spans="1:8" x14ac:dyDescent="0.3">
      <c r="A41" s="361"/>
      <c r="B41" s="362"/>
    </row>
    <row r="42" spans="1:8" x14ac:dyDescent="0.3">
      <c r="A42" s="361"/>
      <c r="B42" s="362"/>
    </row>
    <row r="44" spans="1:8" x14ac:dyDescent="0.3">
      <c r="A44" s="413" t="s">
        <v>1</v>
      </c>
      <c r="B44" s="362" t="s">
        <v>88</v>
      </c>
    </row>
    <row r="45" spans="1:8" x14ac:dyDescent="0.3">
      <c r="A45" s="372" t="s">
        <v>136</v>
      </c>
      <c r="B45" s="414">
        <v>1</v>
      </c>
      <c r="C45" s="358" t="s">
        <v>137</v>
      </c>
      <c r="D45" s="414">
        <v>50</v>
      </c>
      <c r="E45" s="358" t="str">
        <f>B20</f>
        <v>SODIUM BICARBONATE</v>
      </c>
      <c r="H45" s="415"/>
    </row>
    <row r="46" spans="1:8" x14ac:dyDescent="0.3">
      <c r="A46" s="372"/>
      <c r="H46" s="415"/>
    </row>
    <row r="47" spans="1:8" ht="26.25" customHeight="1" x14ac:dyDescent="0.4">
      <c r="A47" s="372" t="s">
        <v>154</v>
      </c>
      <c r="B47" s="416" t="str">
        <f>B26</f>
        <v>0.5M HCL</v>
      </c>
      <c r="C47" s="412" t="s">
        <v>155</v>
      </c>
      <c r="D47" s="365">
        <v>42</v>
      </c>
      <c r="E47" s="368" t="str">
        <f>B20</f>
        <v>SODIUM BICARBONATE</v>
      </c>
      <c r="H47" s="415"/>
    </row>
    <row r="48" spans="1:8" ht="19.5" customHeight="1" thickBot="1" x14ac:dyDescent="0.35">
      <c r="A48" s="368"/>
      <c r="B48" s="368"/>
      <c r="C48" s="368"/>
      <c r="D48" s="368"/>
      <c r="H48" s="415"/>
    </row>
    <row r="49" spans="1:10" ht="19.5" customHeight="1" thickBot="1" x14ac:dyDescent="0.35">
      <c r="C49" s="368"/>
      <c r="D49" s="368"/>
      <c r="E49" s="368"/>
      <c r="F49" s="368"/>
      <c r="G49" s="517" t="s">
        <v>139</v>
      </c>
      <c r="H49" s="518"/>
      <c r="J49" s="417"/>
    </row>
    <row r="50" spans="1:10" ht="19.5" customHeight="1" thickBot="1" x14ac:dyDescent="0.35">
      <c r="A50" s="418" t="s">
        <v>140</v>
      </c>
      <c r="B50" s="377" t="s">
        <v>156</v>
      </c>
      <c r="C50" s="419" t="s">
        <v>142</v>
      </c>
      <c r="D50" s="377" t="s">
        <v>143</v>
      </c>
      <c r="E50" s="377" t="s">
        <v>144</v>
      </c>
      <c r="F50" s="419" t="s">
        <v>145</v>
      </c>
      <c r="G50" s="377" t="s">
        <v>146</v>
      </c>
      <c r="H50" s="377" t="s">
        <v>147</v>
      </c>
      <c r="I50" s="420" t="s">
        <v>148</v>
      </c>
      <c r="J50" s="421"/>
    </row>
    <row r="51" spans="1:10" ht="26.25" customHeight="1" x14ac:dyDescent="0.4">
      <c r="A51" s="422" t="s">
        <v>131</v>
      </c>
      <c r="B51" s="381">
        <v>2</v>
      </c>
      <c r="C51" s="381">
        <v>2.4</v>
      </c>
      <c r="D51" s="423">
        <v>0</v>
      </c>
      <c r="E51" s="424">
        <f>IF(ISBLANK(B51),"-",C51-$D$55)</f>
        <v>2.4</v>
      </c>
      <c r="F51" s="425">
        <f>IF(ISBLANK(B51), "-",E51*$G$38)</f>
        <v>2.3904539157120088</v>
      </c>
      <c r="G51" s="426">
        <f>IF(ISBLANK(B51),"-",F51*$D$47)</f>
        <v>100.39906445990437</v>
      </c>
      <c r="H51" s="427">
        <f>IF(ISBLANK(B51),"-",G51*$B$45/B51)</f>
        <v>50.199532229952183</v>
      </c>
      <c r="I51" s="428">
        <f>IF(ISBLANK(B51),"-",H51/$D$45)</f>
        <v>1.0039906445990436</v>
      </c>
      <c r="J51" s="416"/>
    </row>
    <row r="52" spans="1:10" ht="26.25" customHeight="1" x14ac:dyDescent="0.4">
      <c r="A52" s="429" t="s">
        <v>132</v>
      </c>
      <c r="B52" s="388">
        <v>2</v>
      </c>
      <c r="C52" s="388">
        <v>2.4</v>
      </c>
      <c r="D52" s="430">
        <v>0</v>
      </c>
      <c r="E52" s="431">
        <f>IF(ISBLANK(B52),"-",C52-$D$55)</f>
        <v>2.4</v>
      </c>
      <c r="F52" s="432">
        <f>IF(ISBLANK(B52), "-",E52*$G$38)</f>
        <v>2.3904539157120088</v>
      </c>
      <c r="G52" s="433">
        <f>IF(ISBLANK(B52),"-",F52*$D$47)</f>
        <v>100.39906445990437</v>
      </c>
      <c r="H52" s="434">
        <f>IF(ISBLANK(B52),"-",G52*$B$45/B52)</f>
        <v>50.199532229952183</v>
      </c>
      <c r="I52" s="435">
        <f>IF(ISBLANK(B52),"-",H52/$D$45)</f>
        <v>1.0039906445990436</v>
      </c>
      <c r="J52" s="416"/>
    </row>
    <row r="53" spans="1:10" ht="26.25" customHeight="1" x14ac:dyDescent="0.4">
      <c r="A53" s="429" t="s">
        <v>133</v>
      </c>
      <c r="B53" s="388">
        <v>2</v>
      </c>
      <c r="C53" s="388">
        <v>2.4</v>
      </c>
      <c r="D53" s="430">
        <v>0</v>
      </c>
      <c r="E53" s="431">
        <f>IF(ISBLANK(B53),"-",C53-$D$55)</f>
        <v>2.4</v>
      </c>
      <c r="F53" s="432">
        <f>IF(ISBLANK(B53), "-",E53*$G$38)</f>
        <v>2.3904539157120088</v>
      </c>
      <c r="G53" s="433">
        <f>IF(ISBLANK(B53),"-",F53*$D$47)</f>
        <v>100.39906445990437</v>
      </c>
      <c r="H53" s="434">
        <f>IF(ISBLANK(B53),"-",G53*$B$45/B53)</f>
        <v>50.199532229952183</v>
      </c>
      <c r="I53" s="435">
        <f>IF(ISBLANK(B53),"-",H53/$D$45)</f>
        <v>1.0039906445990436</v>
      </c>
      <c r="J53" s="416"/>
    </row>
    <row r="54" spans="1:10" ht="27" customHeight="1" thickBot="1" x14ac:dyDescent="0.45">
      <c r="A54" s="436" t="s">
        <v>134</v>
      </c>
      <c r="B54" s="395"/>
      <c r="C54" s="395"/>
      <c r="D54" s="437"/>
      <c r="E54" s="438" t="str">
        <f>IF(ISBLANK(B54),"-",C54-$D$55)</f>
        <v>-</v>
      </c>
      <c r="F54" s="439" t="str">
        <f>IF(ISBLANK(B54), "-",E54*$G$38)</f>
        <v>-</v>
      </c>
      <c r="G54" s="440" t="str">
        <f>IF(ISBLANK(B54),"-",F54*$D$47)</f>
        <v>-</v>
      </c>
      <c r="H54" s="441" t="str">
        <f>IF(ISBLANK(B54),"-",G54*$B$45/B54)</f>
        <v>-</v>
      </c>
      <c r="I54" s="442" t="str">
        <f>IF(ISBLANK(B54),"-",H54/$D$45)</f>
        <v>-</v>
      </c>
      <c r="J54" s="412"/>
    </row>
    <row r="55" spans="1:10" ht="26.25" customHeight="1" x14ac:dyDescent="0.4">
      <c r="C55" s="443" t="s">
        <v>135</v>
      </c>
      <c r="D55" s="444">
        <f>AVERAGE(D51:D54)</f>
        <v>0</v>
      </c>
      <c r="F55" s="443" t="s">
        <v>135</v>
      </c>
      <c r="G55" s="445">
        <f>AVERAGE(G51:G54)</f>
        <v>100.39906445990437</v>
      </c>
      <c r="H55" s="445">
        <f>AVERAGE(H51:H54)</f>
        <v>50.199532229952183</v>
      </c>
      <c r="I55" s="446">
        <f>AVERAGE(I51:I54)</f>
        <v>1.0039906445990436</v>
      </c>
      <c r="J55" s="447"/>
    </row>
    <row r="56" spans="1:10" ht="26.25" customHeight="1" x14ac:dyDescent="0.4">
      <c r="C56" s="407" t="s">
        <v>87</v>
      </c>
      <c r="D56" s="408" t="str">
        <f>IF(D55=0,"-",STDEV(D51:D54)/D55)</f>
        <v>-</v>
      </c>
      <c r="F56" s="407" t="s">
        <v>87</v>
      </c>
      <c r="G56" s="448"/>
      <c r="H56" s="449">
        <f>STDEV(H51:H54)/H55</f>
        <v>0</v>
      </c>
      <c r="I56" s="449">
        <f>STDEV(I51:I54)/I55</f>
        <v>0</v>
      </c>
      <c r="J56" s="450"/>
    </row>
    <row r="57" spans="1:10" ht="27" customHeight="1" thickBot="1" x14ac:dyDescent="0.45">
      <c r="B57" s="353" t="str">
        <f>[1]Uniformity!C46</f>
        <v>% Deviation from mean</v>
      </c>
      <c r="C57" s="410" t="s">
        <v>20</v>
      </c>
      <c r="D57" s="411">
        <f>COUNT(D51:D54)</f>
        <v>3</v>
      </c>
      <c r="F57" s="410" t="s">
        <v>20</v>
      </c>
      <c r="G57" s="451">
        <f>COUNT(G51:G54)</f>
        <v>3</v>
      </c>
      <c r="H57" s="451">
        <f>COUNT(H51:H54)</f>
        <v>3</v>
      </c>
      <c r="I57" s="451">
        <f>COUNT(I51:I54)</f>
        <v>3</v>
      </c>
      <c r="J57" s="452"/>
    </row>
    <row r="58" spans="1:10" x14ac:dyDescent="0.3">
      <c r="H58" s="415"/>
      <c r="I58" s="416"/>
      <c r="J58" s="368"/>
    </row>
    <row r="59" spans="1:10" x14ac:dyDescent="0.3">
      <c r="H59" s="415"/>
    </row>
    <row r="60" spans="1:10" ht="19.5" customHeight="1" thickBot="1" x14ac:dyDescent="0.35">
      <c r="A60" s="453"/>
      <c r="B60" s="453"/>
      <c r="C60" s="454"/>
      <c r="D60" s="454"/>
      <c r="E60" s="454"/>
      <c r="F60" s="454"/>
      <c r="G60" s="454"/>
      <c r="H60" s="454"/>
    </row>
    <row r="61" spans="1:10" x14ac:dyDescent="0.3">
      <c r="B61" s="519" t="s">
        <v>26</v>
      </c>
      <c r="C61" s="519"/>
      <c r="E61" s="455" t="s">
        <v>27</v>
      </c>
      <c r="F61" s="456"/>
      <c r="G61" s="519" t="s">
        <v>28</v>
      </c>
      <c r="H61" s="519"/>
    </row>
    <row r="62" spans="1:10" ht="83.25" customHeight="1" x14ac:dyDescent="0.3">
      <c r="A62" s="363" t="s">
        <v>29</v>
      </c>
      <c r="B62" s="457"/>
      <c r="C62" s="457"/>
      <c r="E62" s="458"/>
      <c r="F62" s="358"/>
      <c r="G62" s="458"/>
      <c r="H62" s="458"/>
    </row>
    <row r="63" spans="1:10" ht="84" customHeight="1" x14ac:dyDescent="0.3">
      <c r="A63" s="363" t="s">
        <v>30</v>
      </c>
      <c r="B63" s="459"/>
      <c r="C63" s="459"/>
      <c r="E63" s="460"/>
      <c r="F63" s="358"/>
      <c r="G63" s="461"/>
      <c r="H63" s="461"/>
    </row>
    <row r="64" spans="1:10" x14ac:dyDescent="0.3">
      <c r="A64" s="415"/>
      <c r="B64" s="415"/>
      <c r="C64" s="415"/>
      <c r="D64" s="415"/>
      <c r="E64" s="415"/>
      <c r="F64" s="462"/>
      <c r="G64" s="415"/>
      <c r="H64" s="415"/>
      <c r="I64" s="368"/>
    </row>
    <row r="65" spans="1:9" x14ac:dyDescent="0.3">
      <c r="A65" s="415"/>
      <c r="B65" s="415"/>
      <c r="C65" s="415"/>
      <c r="D65" s="415"/>
      <c r="E65" s="415"/>
      <c r="F65" s="462"/>
      <c r="G65" s="415"/>
      <c r="H65" s="415"/>
      <c r="I65" s="368"/>
    </row>
    <row r="66" spans="1:9" x14ac:dyDescent="0.3">
      <c r="A66" s="415"/>
      <c r="B66" s="415"/>
      <c r="C66" s="415"/>
      <c r="D66" s="415"/>
      <c r="E66" s="415"/>
      <c r="F66" s="462"/>
      <c r="G66" s="415"/>
      <c r="H66" s="415"/>
      <c r="I66" s="368"/>
    </row>
    <row r="67" spans="1:9" x14ac:dyDescent="0.3">
      <c r="A67" s="415"/>
      <c r="B67" s="415"/>
      <c r="C67" s="415"/>
      <c r="D67" s="415"/>
      <c r="E67" s="415"/>
      <c r="F67" s="462"/>
      <c r="G67" s="415"/>
      <c r="H67" s="415"/>
      <c r="I67" s="368"/>
    </row>
    <row r="68" spans="1:9" x14ac:dyDescent="0.3">
      <c r="A68" s="415"/>
      <c r="B68" s="415"/>
      <c r="C68" s="415"/>
      <c r="D68" s="415"/>
      <c r="E68" s="415"/>
      <c r="F68" s="462"/>
      <c r="G68" s="415"/>
      <c r="H68" s="415"/>
      <c r="I68" s="368"/>
    </row>
    <row r="69" spans="1:9" x14ac:dyDescent="0.3">
      <c r="A69" s="415"/>
      <c r="B69" s="415"/>
      <c r="C69" s="415"/>
      <c r="D69" s="415"/>
      <c r="E69" s="415"/>
      <c r="F69" s="462"/>
      <c r="G69" s="415"/>
      <c r="H69" s="415"/>
      <c r="I69" s="368"/>
    </row>
    <row r="70" spans="1:9" x14ac:dyDescent="0.3">
      <c r="A70" s="415"/>
      <c r="B70" s="415"/>
      <c r="C70" s="415"/>
      <c r="D70" s="415"/>
      <c r="E70" s="415"/>
      <c r="F70" s="462"/>
      <c r="G70" s="415"/>
      <c r="H70" s="415"/>
      <c r="I70" s="368"/>
    </row>
    <row r="71" spans="1:9" x14ac:dyDescent="0.3">
      <c r="A71" s="415"/>
      <c r="B71" s="415"/>
      <c r="C71" s="415"/>
      <c r="D71" s="415"/>
      <c r="E71" s="415"/>
      <c r="F71" s="462"/>
      <c r="G71" s="415"/>
      <c r="H71" s="415"/>
      <c r="I71" s="368"/>
    </row>
    <row r="72" spans="1:9" x14ac:dyDescent="0.3">
      <c r="A72" s="415"/>
      <c r="B72" s="415"/>
      <c r="C72" s="415"/>
      <c r="D72" s="415"/>
      <c r="E72" s="415"/>
      <c r="F72" s="462"/>
      <c r="G72" s="415"/>
      <c r="H72" s="415"/>
      <c r="I72" s="368"/>
    </row>
    <row r="250" spans="1:1" x14ac:dyDescent="0.3">
      <c r="A250" s="353">
        <v>0</v>
      </c>
    </row>
  </sheetData>
  <sheetProtection password="F258" sheet="1" objects="1" scenarios="1" formatCells="0" formatColumn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Uniformity</vt:lpstr>
      <vt:lpstr>Artesunate</vt:lpstr>
      <vt:lpstr>Sodium Chloride</vt:lpstr>
      <vt:lpstr>Sodium Bicarbonate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2017-12-22T05:30:07Z</cp:lastPrinted>
  <dcterms:created xsi:type="dcterms:W3CDTF">2005-07-05T10:19:27Z</dcterms:created>
  <dcterms:modified xsi:type="dcterms:W3CDTF">2017-12-22T05:30:29Z</dcterms:modified>
</cp:coreProperties>
</file>