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" sheetId="5" r:id="rId1"/>
    <sheet name="Artesunate" sheetId="4" r:id="rId2"/>
    <sheet name="Uniformity" sheetId="2" r:id="rId3"/>
    <sheet name="Sodium Chloride" sheetId="6" r:id="rId4"/>
    <sheet name="Sodium Bicarbonate" sheetId="7" r:id="rId5"/>
  </sheets>
  <externalReferences>
    <externalReference r:id="rId6"/>
  </externalReferences>
  <definedNames>
    <definedName name="_xlnm.Print_Area" localSheetId="4">'Sodium Bicarbonate'!$A$1:$I$63</definedName>
    <definedName name="_xlnm.Print_Area" localSheetId="3">'Sodium Chloride'!$A$1:$I$64</definedName>
  </definedNames>
  <calcPr calcId="145621"/>
</workbook>
</file>

<file path=xl/calcChain.xml><?xml version="1.0" encoding="utf-8"?>
<calcChain xmlns="http://schemas.openxmlformats.org/spreadsheetml/2006/main">
  <c r="D57" i="7" l="1"/>
  <c r="B57" i="7"/>
  <c r="D56" i="7"/>
  <c r="D55" i="7"/>
  <c r="I54" i="7"/>
  <c r="H54" i="7"/>
  <c r="G54" i="7"/>
  <c r="F54" i="7"/>
  <c r="E54" i="7"/>
  <c r="E53" i="7"/>
  <c r="E52" i="7"/>
  <c r="E51" i="7"/>
  <c r="E47" i="7"/>
  <c r="B47" i="7"/>
  <c r="E45" i="7"/>
  <c r="G37" i="7"/>
  <c r="F37" i="7"/>
  <c r="E37" i="7"/>
  <c r="C37" i="7"/>
  <c r="C36" i="7"/>
  <c r="E36" i="7" s="1"/>
  <c r="G36" i="7" s="1"/>
  <c r="C35" i="7"/>
  <c r="E35" i="7" s="1"/>
  <c r="F35" i="7" s="1"/>
  <c r="C34" i="7"/>
  <c r="E34" i="7" s="1"/>
  <c r="E40" i="7" s="1"/>
  <c r="D58" i="6"/>
  <c r="D57" i="6"/>
  <c r="B57" i="6"/>
  <c r="D56" i="6"/>
  <c r="E53" i="6" s="1"/>
  <c r="I55" i="6"/>
  <c r="H55" i="6"/>
  <c r="G55" i="6"/>
  <c r="F55" i="6"/>
  <c r="E55" i="6"/>
  <c r="E54" i="6"/>
  <c r="E52" i="6"/>
  <c r="C48" i="6"/>
  <c r="E46" i="6"/>
  <c r="B44" i="6"/>
  <c r="G37" i="6"/>
  <c r="F37" i="6"/>
  <c r="E37" i="6"/>
  <c r="C37" i="6"/>
  <c r="C36" i="6"/>
  <c r="E36" i="6" s="1"/>
  <c r="E35" i="6"/>
  <c r="F35" i="6" s="1"/>
  <c r="C35" i="6"/>
  <c r="C34" i="6"/>
  <c r="E34" i="6" s="1"/>
  <c r="G35" i="6" l="1"/>
  <c r="F34" i="7"/>
  <c r="F38" i="7" s="1"/>
  <c r="G35" i="7"/>
  <c r="E38" i="7"/>
  <c r="E39" i="7" s="1"/>
  <c r="F36" i="7"/>
  <c r="G34" i="7"/>
  <c r="G38" i="7" s="1"/>
  <c r="F51" i="7" s="1"/>
  <c r="G51" i="7" s="1"/>
  <c r="G34" i="6"/>
  <c r="E40" i="6"/>
  <c r="F34" i="6"/>
  <c r="E38" i="6"/>
  <c r="E39" i="6" s="1"/>
  <c r="G36" i="6"/>
  <c r="F36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52" i="7" l="1"/>
  <c r="G52" i="7" s="1"/>
  <c r="H52" i="7" s="1"/>
  <c r="I52" i="7" s="1"/>
  <c r="G38" i="6"/>
  <c r="F54" i="6" s="1"/>
  <c r="G54" i="6" s="1"/>
  <c r="H54" i="6" s="1"/>
  <c r="I54" i="6" s="1"/>
  <c r="G57" i="7"/>
  <c r="H51" i="7"/>
  <c r="F53" i="7"/>
  <c r="G53" i="7" s="1"/>
  <c r="H53" i="7" s="1"/>
  <c r="I53" i="7" s="1"/>
  <c r="F53" i="6"/>
  <c r="G53" i="6" s="1"/>
  <c r="H53" i="6" s="1"/>
  <c r="I53" i="6" s="1"/>
  <c r="F52" i="6"/>
  <c r="G52" i="6" s="1"/>
  <c r="F38" i="6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D29" i="2"/>
  <c r="D25" i="2"/>
  <c r="D21" i="2"/>
  <c r="D22" i="2"/>
  <c r="D45" i="4" l="1"/>
  <c r="D46" i="4" s="1"/>
  <c r="F44" i="4"/>
  <c r="F45" i="4" s="1"/>
  <c r="F46" i="4" s="1"/>
  <c r="H57" i="7"/>
  <c r="H55" i="7"/>
  <c r="H56" i="7" s="1"/>
  <c r="I51" i="7"/>
  <c r="G55" i="7"/>
  <c r="G58" i="6"/>
  <c r="G56" i="6"/>
  <c r="H52" i="6"/>
  <c r="D49" i="4"/>
  <c r="E40" i="4"/>
  <c r="G40" i="4"/>
  <c r="E39" i="4"/>
  <c r="G39" i="4" l="1"/>
  <c r="G38" i="4"/>
  <c r="G42" i="4" s="1"/>
  <c r="E38" i="4"/>
  <c r="E42" i="4" s="1"/>
  <c r="I57" i="7"/>
  <c r="I55" i="7"/>
  <c r="I56" i="7" s="1"/>
  <c r="H58" i="6"/>
  <c r="H56" i="6"/>
  <c r="H57" i="6" s="1"/>
  <c r="I52" i="6"/>
  <c r="D50" i="4"/>
  <c r="D52" i="4" l="1"/>
  <c r="I58" i="6"/>
  <c r="I56" i="6"/>
  <c r="I57" i="6" s="1"/>
  <c r="D51" i="4"/>
  <c r="C33" i="2" l="1"/>
  <c r="B33" i="2"/>
  <c r="C32" i="2"/>
  <c r="B32" i="2"/>
  <c r="D30" i="2"/>
  <c r="D28" i="2"/>
  <c r="D27" i="2"/>
  <c r="D26" i="2"/>
  <c r="D24" i="2"/>
  <c r="D23" i="2"/>
  <c r="D32" i="2" l="1"/>
  <c r="D33" i="2"/>
  <c r="E28" i="2" l="1"/>
  <c r="B57" i="4"/>
  <c r="E21" i="2"/>
  <c r="D38" i="2"/>
  <c r="B37" i="2"/>
  <c r="C38" i="2"/>
  <c r="D37" i="2"/>
  <c r="C37" i="2"/>
  <c r="E30" i="2"/>
  <c r="E26" i="2"/>
  <c r="E24" i="2"/>
  <c r="E22" i="2"/>
  <c r="E23" i="2"/>
  <c r="E29" i="2"/>
  <c r="E27" i="2"/>
  <c r="E25" i="2"/>
  <c r="B69" i="4" l="1"/>
  <c r="G62" i="4"/>
  <c r="H62" i="4" s="1"/>
  <c r="G70" i="4"/>
  <c r="H70" i="4" s="1"/>
  <c r="G66" i="4"/>
  <c r="H66" i="4" s="1"/>
  <c r="G68" i="4"/>
  <c r="H68" i="4" s="1"/>
  <c r="G60" i="4"/>
  <c r="H60" i="4" s="1"/>
  <c r="G65" i="4"/>
  <c r="H65" i="4" s="1"/>
  <c r="G64" i="4"/>
  <c r="H64" i="4" s="1"/>
  <c r="G61" i="4"/>
  <c r="H61" i="4" s="1"/>
  <c r="G69" i="4"/>
  <c r="H69" i="4" s="1"/>
  <c r="H74" i="4" l="1"/>
  <c r="H72" i="4"/>
  <c r="G76" i="4" s="1"/>
  <c r="H73" i="4" l="1"/>
</calcChain>
</file>

<file path=xl/sharedStrings.xml><?xml version="1.0" encoding="utf-8"?>
<sst xmlns="http://schemas.openxmlformats.org/spreadsheetml/2006/main" count="306" uniqueCount="159">
  <si>
    <t>HPLC System Suitability Report</t>
  </si>
  <si>
    <t>Analysis Data</t>
  </si>
  <si>
    <t>Assay</t>
  </si>
  <si>
    <t>Sample(s)</t>
  </si>
  <si>
    <t>Reference Substance:</t>
  </si>
  <si>
    <t>ARTSUN 60 mg INJECTION I.M/ I.V</t>
  </si>
  <si>
    <t>% age Purity:</t>
  </si>
  <si>
    <t>NDQB201709177</t>
  </si>
  <si>
    <t>Weight (mg):</t>
  </si>
  <si>
    <t>Artesunate 60 mg</t>
  </si>
  <si>
    <t>Standard Conc (mg/mL):</t>
  </si>
  <si>
    <t>Each box contains 1 vial of Artesunate 60 mg for injection, 1 ampoule of sodium bicarbonate 50 mg/mL injection and 1 ampoule of sodium chloride 9 mg/mL injection.</t>
  </si>
  <si>
    <t>2017-09-26 15:57:39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</si>
  <si>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</si>
  <si>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</si>
  <si>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</si>
  <si>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</si>
  <si>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</si>
  <si>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</si>
  <si>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</si>
  <si>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</si>
  <si>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</si>
  <si>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</si>
  <si>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</si>
  <si>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</si>
  <si>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</si>
  <si>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</si>
  <si>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</si>
  <si>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</si>
  <si>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</si>
  <si>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</si>
  <si>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</si>
  <si>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</si>
  <si>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</si>
  <si>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</si>
  <si>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</si>
  <si>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</si>
  <si>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</si>
  <si>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</si>
  <si>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2017-12-20 14:42:49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</si>
  <si>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</si>
  <si>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</si>
  <si>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</si>
  <si>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</si>
  <si>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</si>
  <si>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</si>
  <si>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</si>
  <si>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</si>
  <si>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</si>
  <si>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</si>
  <si>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</si>
  <si>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</si>
  <si>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</si>
  <si>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</si>
  <si>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</si>
  <si>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</si>
  <si>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</si>
  <si>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</si>
  <si>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</si>
  <si>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</si>
  <si>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</si>
  <si>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</si>
  <si>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</si>
  <si>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</si>
  <si>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</si>
  <si>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</si>
  <si>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</si>
  <si>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</si>
  <si>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</si>
  <si>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</si>
  <si>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</si>
  <si>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</si>
  <si>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</si>
  <si>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</si>
  <si>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</si>
  <si>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</si>
  <si>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</si>
  <si>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</si>
  <si>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</si>
  <si>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</si>
  <si>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</si>
  <si>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</si>
  <si>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</si>
  <si>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</si>
  <si>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</si>
  <si>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</si>
  <si>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</si>
  <si>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</si>
  <si>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</si>
  <si>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</si>
  <si>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</si>
  <si>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</si>
  <si>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</si>
  <si>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</si>
  <si>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</si>
  <si>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</si>
  <si>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</si>
  <si>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</si>
  <si>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</si>
  <si>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</si>
  <si>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</si>
  <si>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</si>
  <si>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</si>
  <si>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</si>
  <si>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</si>
  <si>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</si>
  <si>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</si>
  <si>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</si>
  <si>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</si>
  <si>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</si>
  <si>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</si>
  <si>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</si>
  <si>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 60 MG INJECTION I.M./I.V.</t>
  </si>
  <si>
    <t>2017-09-26 15:51:38</t>
  </si>
  <si>
    <t>Artesunate</t>
  </si>
  <si>
    <t>A15-4</t>
  </si>
  <si>
    <t xml:space="preserve">Artesunate </t>
  </si>
  <si>
    <t>National Quality Control Laoboratory</t>
  </si>
  <si>
    <t>ARTESUN 60 mg INJECTION I.M./I.V.</t>
  </si>
  <si>
    <t>CHLORIDE</t>
  </si>
  <si>
    <t>Standardisation of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</si>
  <si>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</si>
  <si>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</si>
  <si>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</si>
  <si>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</si>
  <si>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</si>
  <si>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</si>
  <si>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</si>
  <si>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</si>
  <si>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</si>
  <si>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</si>
  <si>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</si>
  <si>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</si>
  <si>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</si>
  <si>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</si>
  <si>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</si>
  <si>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</si>
  <si>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</si>
  <si>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</si>
  <si>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</si>
  <si>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</si>
  <si>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</si>
  <si>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</si>
  <si>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</si>
  <si>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</si>
  <si>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</si>
  <si>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</si>
  <si>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</si>
  <si>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</si>
  <si>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</si>
  <si>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</si>
  <si>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BICARBONATE</t>
  </si>
  <si>
    <t>Standardisation of the Volumetric Solutions</t>
  </si>
  <si>
    <t>Volumetric Solution:</t>
  </si>
  <si>
    <t>0.5M HCL</t>
  </si>
  <si>
    <t>SODIUM CARBONATE</t>
  </si>
  <si>
    <t>Each mL of</t>
  </si>
  <si>
    <t>is equivalent to</t>
  </si>
  <si>
    <t>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</si>
</sst>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0\ &quot;mg&quot;"/>
    <numFmt numFmtId="172" formatCode="0.00\ &quot;M&quot;"/>
    <numFmt numFmtId="173" formatCode="0\ &quot;mL&quot;"/>
    <numFmt numFmtId="174" formatCode="0.000\ &quot;mg&quot;"/>
    <numFmt numFmtId="175" formatCode="General\ &quot;VS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1" fillId="2" borderId="0"/>
    <xf numFmtId="0" fontId="21" fillId="2" borderId="0"/>
    <xf numFmtId="0" fontId="21" fillId="2" borderId="0"/>
    <xf numFmtId="0" fontId="22" fillId="2" borderId="0"/>
    <xf numFmtId="0" fontId="21" fillId="2" borderId="0"/>
    <xf numFmtId="0" fontId="21" fillId="2" borderId="0"/>
  </cellStyleXfs>
  <cellXfs count="5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1" fillId="2" borderId="0" xfId="1" applyFill="1"/>
    <xf numFmtId="0" fontId="10" fillId="2" borderId="0" xfId="1" applyFont="1" applyFill="1"/>
    <xf numFmtId="0" fontId="3" fillId="2" borderId="0" xfId="1" applyFont="1" applyFill="1"/>
    <xf numFmtId="0" fontId="11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15" fontId="12" fillId="3" borderId="0" xfId="1" applyNumberFormat="1" applyFont="1" applyFill="1" applyAlignment="1" applyProtection="1">
      <alignment horizontal="left"/>
      <protection locked="0"/>
    </xf>
    <xf numFmtId="15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1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9" fontId="11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0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0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1" fillId="2" borderId="34" xfId="1" applyFont="1" applyFill="1" applyBorder="1" applyAlignment="1">
      <alignment horizontal="center"/>
    </xf>
    <xf numFmtId="0" fontId="11" fillId="2" borderId="37" xfId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/>
    </xf>
    <xf numFmtId="0" fontId="11" fillId="2" borderId="39" xfId="1" applyFont="1" applyFill="1" applyBorder="1" applyAlignment="1">
      <alignment horizontal="center"/>
    </xf>
    <xf numFmtId="0" fontId="10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0" fontId="10" fillId="2" borderId="38" xfId="1" applyNumberFormat="1" applyFont="1" applyFill="1" applyBorder="1" applyAlignment="1">
      <alignment horizontal="center"/>
    </xf>
    <xf numFmtId="170" fontId="10" fillId="2" borderId="39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0" fontId="10" fillId="2" borderId="42" xfId="1" applyNumberFormat="1" applyFont="1" applyFill="1" applyBorder="1" applyAlignment="1">
      <alignment horizontal="center"/>
    </xf>
    <xf numFmtId="170" fontId="10" fillId="2" borderId="43" xfId="1" applyNumberFormat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3" fillId="3" borderId="44" xfId="1" applyFont="1" applyFill="1" applyBorder="1" applyAlignment="1" applyProtection="1">
      <alignment horizontal="center"/>
      <protection locked="0"/>
    </xf>
    <xf numFmtId="170" fontId="10" fillId="2" borderId="45" xfId="1" applyNumberFormat="1" applyFont="1" applyFill="1" applyBorder="1" applyAlignment="1">
      <alignment horizontal="center"/>
    </xf>
    <xf numFmtId="170" fontId="10" fillId="2" borderId="46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" fontId="11" fillId="6" borderId="25" xfId="1" applyNumberFormat="1" applyFont="1" applyFill="1" applyBorder="1" applyAlignment="1">
      <alignment horizontal="center"/>
    </xf>
    <xf numFmtId="170" fontId="11" fillId="6" borderId="47" xfId="1" applyNumberFormat="1" applyFont="1" applyFill="1" applyBorder="1" applyAlignment="1">
      <alignment horizontal="center"/>
    </xf>
    <xf numFmtId="170" fontId="11" fillId="6" borderId="4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9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17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17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2" fontId="10" fillId="6" borderId="18" xfId="1" applyNumberFormat="1" applyFont="1" applyFill="1" applyBorder="1" applyAlignment="1">
      <alignment horizontal="center"/>
    </xf>
    <xf numFmtId="0" fontId="10" fillId="2" borderId="50" xfId="1" applyFont="1" applyFill="1" applyBorder="1" applyAlignment="1">
      <alignment horizontal="right"/>
    </xf>
    <xf numFmtId="0" fontId="13" fillId="3" borderId="17" xfId="1" applyFont="1" applyFill="1" applyBorder="1" applyAlignment="1" applyProtection="1">
      <alignment horizontal="center"/>
      <protection locked="0"/>
    </xf>
    <xf numFmtId="1" fontId="10" fillId="2" borderId="0" xfId="1" applyNumberFormat="1" applyFont="1" applyFill="1" applyAlignment="1">
      <alignment horizontal="center"/>
    </xf>
    <xf numFmtId="0" fontId="10" fillId="2" borderId="41" xfId="1" applyFont="1" applyFill="1" applyBorder="1" applyAlignment="1">
      <alignment horizontal="right"/>
    </xf>
    <xf numFmtId="2" fontId="10" fillId="6" borderId="32" xfId="1" applyNumberFormat="1" applyFont="1" applyFill="1" applyBorder="1" applyAlignment="1">
      <alignment horizontal="center"/>
    </xf>
    <xf numFmtId="170" fontId="11" fillId="7" borderId="31" xfId="1" applyNumberFormat="1" applyFont="1" applyFill="1" applyBorder="1" applyAlignment="1">
      <alignment horizontal="center"/>
    </xf>
    <xf numFmtId="170" fontId="10" fillId="2" borderId="0" xfId="1" applyNumberFormat="1" applyFont="1" applyFill="1" applyAlignment="1">
      <alignment horizontal="center"/>
    </xf>
    <xf numFmtId="10" fontId="10" fillId="6" borderId="17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0" fillId="7" borderId="32" xfId="1" applyFont="1" applyFill="1" applyBorder="1" applyAlignment="1">
      <alignment horizontal="center"/>
    </xf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1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0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2" fontId="10" fillId="2" borderId="33" xfId="1" applyNumberFormat="1" applyFont="1" applyFill="1" applyBorder="1" applyAlignment="1">
      <alignment horizontal="center"/>
    </xf>
    <xf numFmtId="10" fontId="10" fillId="2" borderId="31" xfId="1" applyNumberFormat="1" applyFont="1" applyFill="1" applyBorder="1" applyAlignment="1">
      <alignment horizontal="center" vertical="center"/>
    </xf>
    <xf numFmtId="0" fontId="10" fillId="2" borderId="52" xfId="1" applyFont="1" applyFill="1" applyBorder="1" applyAlignment="1">
      <alignment horizontal="center"/>
    </xf>
    <xf numFmtId="2" fontId="10" fillId="2" borderId="35" xfId="1" applyNumberFormat="1" applyFont="1" applyFill="1" applyBorder="1" applyAlignment="1">
      <alignment horizontal="center"/>
    </xf>
    <xf numFmtId="10" fontId="10" fillId="2" borderId="52" xfId="1" applyNumberFormat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/>
    </xf>
    <xf numFmtId="0" fontId="13" fillId="3" borderId="51" xfId="1" applyFont="1" applyFill="1" applyBorder="1" applyAlignment="1" applyProtection="1">
      <alignment horizontal="center"/>
      <protection locked="0"/>
    </xf>
    <xf numFmtId="2" fontId="10" fillId="2" borderId="31" xfId="1" applyNumberFormat="1" applyFont="1" applyFill="1" applyBorder="1" applyAlignment="1">
      <alignment horizontal="center"/>
    </xf>
    <xf numFmtId="10" fontId="10" fillId="2" borderId="34" xfId="1" applyNumberFormat="1" applyFont="1" applyFill="1" applyBorder="1" applyAlignment="1">
      <alignment horizontal="center" vertical="center"/>
    </xf>
    <xf numFmtId="2" fontId="10" fillId="2" borderId="52" xfId="1" applyNumberFormat="1" applyFont="1" applyFill="1" applyBorder="1" applyAlignment="1">
      <alignment horizontal="center"/>
    </xf>
    <xf numFmtId="10" fontId="10" fillId="2" borderId="36" xfId="1" applyNumberFormat="1" applyFont="1" applyFill="1" applyBorder="1" applyAlignment="1">
      <alignment horizontal="center" vertical="center"/>
    </xf>
    <xf numFmtId="2" fontId="10" fillId="2" borderId="32" xfId="1" applyNumberFormat="1" applyFont="1" applyFill="1" applyBorder="1" applyAlignment="1">
      <alignment horizontal="center"/>
    </xf>
    <xf numFmtId="10" fontId="10" fillId="2" borderId="53" xfId="1" applyNumberFormat="1" applyFont="1" applyFill="1" applyBorder="1" applyAlignment="1">
      <alignment horizontal="center" vertical="center"/>
    </xf>
    <xf numFmtId="0" fontId="12" fillId="2" borderId="53" xfId="1" applyFont="1" applyFill="1" applyBorder="1" applyAlignment="1">
      <alignment horizontal="center"/>
    </xf>
    <xf numFmtId="10" fontId="10" fillId="2" borderId="32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right"/>
    </xf>
    <xf numFmtId="10" fontId="13" fillId="7" borderId="15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 applyProtection="1">
      <protection locked="0"/>
    </xf>
    <xf numFmtId="0" fontId="10" fillId="2" borderId="7" xfId="1" applyFont="1" applyFill="1" applyBorder="1"/>
    <xf numFmtId="0" fontId="11" fillId="2" borderId="11" xfId="1" applyFont="1" applyFill="1" applyBorder="1" applyProtection="1">
      <protection locked="0"/>
    </xf>
    <xf numFmtId="0" fontId="11" fillId="2" borderId="11" xfId="1" applyFont="1" applyFill="1" applyBorder="1"/>
    <xf numFmtId="0" fontId="10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4" fillId="2" borderId="0" xfId="3" applyFont="1" applyFill="1" applyAlignment="1">
      <alignment horizontal="left"/>
    </xf>
    <xf numFmtId="0" fontId="21" fillId="2" borderId="0" xfId="3" applyFill="1"/>
    <xf numFmtId="0" fontId="11" fillId="2" borderId="0" xfId="3" applyFont="1" applyFill="1" applyAlignment="1">
      <alignment vertical="center"/>
    </xf>
    <xf numFmtId="0" fontId="11" fillId="3" borderId="0" xfId="3" applyFont="1" applyFill="1" applyAlignment="1" applyProtection="1">
      <alignment vertical="center"/>
      <protection locked="0"/>
    </xf>
    <xf numFmtId="0" fontId="10" fillId="3" borderId="0" xfId="3" applyFont="1" applyFill="1" applyAlignment="1" applyProtection="1">
      <alignment horizontal="left" vertical="center"/>
      <protection locked="0"/>
    </xf>
    <xf numFmtId="0" fontId="10" fillId="2" borderId="0" xfId="3" applyFont="1" applyFill="1" applyAlignment="1" applyProtection="1">
      <alignment vertical="center"/>
      <protection locked="0"/>
    </xf>
    <xf numFmtId="0" fontId="10" fillId="3" borderId="0" xfId="3" applyFont="1" applyFill="1" applyAlignment="1" applyProtection="1">
      <alignment vertical="center"/>
      <protection locked="0"/>
    </xf>
    <xf numFmtId="0" fontId="10" fillId="3" borderId="0" xfId="3" applyFont="1" applyFill="1" applyProtection="1">
      <protection locked="0"/>
    </xf>
    <xf numFmtId="15" fontId="10" fillId="3" borderId="0" xfId="3" applyNumberFormat="1" applyFont="1" applyFill="1" applyAlignment="1" applyProtection="1">
      <alignment horizontal="left" vertical="center"/>
      <protection locked="0"/>
    </xf>
    <xf numFmtId="15" fontId="10" fillId="2" borderId="0" xfId="3" applyNumberFormat="1" applyFont="1" applyFill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11" fillId="2" borderId="0" xfId="3" applyFont="1" applyFill="1" applyAlignment="1">
      <alignment horizontal="left" vertical="center"/>
    </xf>
    <xf numFmtId="0" fontId="10" fillId="2" borderId="0" xfId="3" applyFont="1" applyFill="1" applyAlignment="1">
      <alignment horizontal="right" vertical="center"/>
    </xf>
    <xf numFmtId="0" fontId="11" fillId="2" borderId="0" xfId="3" applyFont="1" applyFill="1" applyAlignment="1">
      <alignment horizontal="center" vertical="center"/>
    </xf>
    <xf numFmtId="0" fontId="10" fillId="2" borderId="0" xfId="3" applyFont="1" applyFill="1" applyAlignment="1">
      <alignment vertical="center"/>
    </xf>
    <xf numFmtId="0" fontId="11" fillId="2" borderId="0" xfId="3" applyFont="1" applyFill="1" applyAlignment="1">
      <alignment vertical="center" wrapText="1"/>
    </xf>
    <xf numFmtId="0" fontId="10" fillId="2" borderId="0" xfId="3" applyFont="1" applyFill="1"/>
    <xf numFmtId="0" fontId="6" fillId="2" borderId="0" xfId="3" applyFont="1" applyFill="1" applyAlignment="1" applyProtection="1">
      <alignment horizontal="left"/>
      <protection locked="0"/>
    </xf>
    <xf numFmtId="0" fontId="11" fillId="2" borderId="0" xfId="3" applyFont="1" applyFill="1" applyAlignment="1">
      <alignment horizontal="right"/>
    </xf>
    <xf numFmtId="2" fontId="13" fillId="3" borderId="0" xfId="3" applyNumberFormat="1" applyFont="1" applyFill="1" applyAlignment="1" applyProtection="1">
      <alignment horizontal="left"/>
      <protection locked="0"/>
    </xf>
    <xf numFmtId="2" fontId="13" fillId="3" borderId="0" xfId="3" applyNumberFormat="1" applyFont="1" applyFill="1" applyAlignment="1" applyProtection="1">
      <alignment horizontal="center"/>
      <protection locked="0"/>
    </xf>
    <xf numFmtId="0" fontId="10" fillId="2" borderId="35" xfId="3" applyFont="1" applyFill="1" applyBorder="1" applyAlignment="1">
      <alignment horizontal="right" vertical="center"/>
    </xf>
    <xf numFmtId="2" fontId="13" fillId="2" borderId="0" xfId="3" applyNumberFormat="1" applyFont="1" applyFill="1" applyAlignment="1" applyProtection="1">
      <alignment horizontal="center"/>
      <protection locked="0"/>
    </xf>
    <xf numFmtId="0" fontId="16" fillId="2" borderId="0" xfId="3" applyFont="1" applyFill="1" applyAlignment="1">
      <alignment vertical="center" wrapText="1"/>
    </xf>
    <xf numFmtId="172" fontId="13" fillId="3" borderId="0" xfId="3" applyNumberFormat="1" applyFont="1" applyFill="1" applyAlignment="1" applyProtection="1">
      <alignment horizontal="center"/>
      <protection locked="0"/>
    </xf>
    <xf numFmtId="2" fontId="10" fillId="2" borderId="0" xfId="3" applyNumberFormat="1" applyFont="1" applyFill="1" applyAlignment="1">
      <alignment horizontal="right"/>
    </xf>
    <xf numFmtId="2" fontId="11" fillId="2" borderId="0" xfId="3" applyNumberFormat="1" applyFont="1" applyFill="1" applyAlignment="1" applyProtection="1">
      <alignment horizontal="center"/>
      <protection locked="0"/>
    </xf>
    <xf numFmtId="2" fontId="11" fillId="2" borderId="0" xfId="3" applyNumberFormat="1" applyFont="1" applyFill="1" applyAlignment="1">
      <alignment horizontal="centerContinuous"/>
    </xf>
    <xf numFmtId="2" fontId="11" fillId="2" borderId="31" xfId="3" applyNumberFormat="1" applyFont="1" applyFill="1" applyBorder="1" applyAlignment="1">
      <alignment horizontal="center" vertical="center"/>
    </xf>
    <xf numFmtId="2" fontId="11" fillId="2" borderId="10" xfId="3" applyNumberFormat="1" applyFont="1" applyFill="1" applyBorder="1" applyAlignment="1">
      <alignment horizontal="center" vertical="center"/>
    </xf>
    <xf numFmtId="2" fontId="11" fillId="2" borderId="34" xfId="3" applyNumberFormat="1" applyFont="1" applyFill="1" applyBorder="1" applyAlignment="1">
      <alignment horizontal="center" vertical="center"/>
    </xf>
    <xf numFmtId="0" fontId="10" fillId="2" borderId="28" xfId="3" applyFont="1" applyFill="1" applyBorder="1" applyAlignment="1">
      <alignment horizontal="center"/>
    </xf>
    <xf numFmtId="2" fontId="13" fillId="3" borderId="28" xfId="3" applyNumberFormat="1" applyFont="1" applyFill="1" applyBorder="1" applyAlignment="1" applyProtection="1">
      <alignment horizontal="center"/>
      <protection locked="0"/>
    </xf>
    <xf numFmtId="166" fontId="10" fillId="2" borderId="49" xfId="3" applyNumberFormat="1" applyFont="1" applyFill="1" applyBorder="1" applyAlignment="1">
      <alignment horizontal="center"/>
    </xf>
    <xf numFmtId="170" fontId="13" fillId="3" borderId="28" xfId="3" applyNumberFormat="1" applyFont="1" applyFill="1" applyBorder="1" applyAlignment="1" applyProtection="1">
      <alignment horizontal="center"/>
      <protection locked="0"/>
    </xf>
    <xf numFmtId="164" fontId="10" fillId="2" borderId="49" xfId="3" applyNumberFormat="1" applyFont="1" applyFill="1" applyBorder="1" applyAlignment="1">
      <alignment horizontal="center"/>
    </xf>
    <xf numFmtId="10" fontId="10" fillId="2" borderId="28" xfId="3" applyNumberFormat="1" applyFont="1" applyFill="1" applyBorder="1" applyAlignment="1">
      <alignment horizontal="center"/>
    </xf>
    <xf numFmtId="164" fontId="10" fillId="2" borderId="28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center"/>
    </xf>
    <xf numFmtId="2" fontId="13" fillId="3" borderId="17" xfId="3" applyNumberFormat="1" applyFont="1" applyFill="1" applyBorder="1" applyAlignment="1" applyProtection="1">
      <alignment horizontal="center"/>
      <protection locked="0"/>
    </xf>
    <xf numFmtId="166" fontId="10" fillId="2" borderId="11" xfId="3" applyNumberFormat="1" applyFont="1" applyFill="1" applyBorder="1" applyAlignment="1">
      <alignment horizontal="center"/>
    </xf>
    <xf numFmtId="170" fontId="13" fillId="3" borderId="17" xfId="3" applyNumberFormat="1" applyFont="1" applyFill="1" applyBorder="1" applyAlignment="1" applyProtection="1">
      <alignment horizontal="center"/>
      <protection locked="0"/>
    </xf>
    <xf numFmtId="164" fontId="10" fillId="2" borderId="11" xfId="3" applyNumberFormat="1" applyFont="1" applyFill="1" applyBorder="1" applyAlignment="1">
      <alignment horizontal="center"/>
    </xf>
    <xf numFmtId="10" fontId="10" fillId="2" borderId="17" xfId="3" applyNumberFormat="1" applyFont="1" applyFill="1" applyBorder="1" applyAlignment="1">
      <alignment horizontal="center"/>
    </xf>
    <xf numFmtId="164" fontId="10" fillId="2" borderId="17" xfId="3" applyNumberFormat="1" applyFont="1" applyFill="1" applyBorder="1" applyAlignment="1">
      <alignment horizontal="center"/>
    </xf>
    <xf numFmtId="0" fontId="10" fillId="2" borderId="18" xfId="3" applyFont="1" applyFill="1" applyBorder="1" applyAlignment="1">
      <alignment horizontal="center"/>
    </xf>
    <xf numFmtId="2" fontId="13" fillId="3" borderId="18" xfId="3" applyNumberFormat="1" applyFont="1" applyFill="1" applyBorder="1" applyAlignment="1" applyProtection="1">
      <alignment horizontal="center"/>
      <protection locked="0"/>
    </xf>
    <xf numFmtId="166" fontId="10" fillId="2" borderId="55" xfId="3" applyNumberFormat="1" applyFont="1" applyFill="1" applyBorder="1" applyAlignment="1">
      <alignment horizontal="center"/>
    </xf>
    <xf numFmtId="170" fontId="13" fillId="3" borderId="18" xfId="3" applyNumberFormat="1" applyFont="1" applyFill="1" applyBorder="1" applyAlignment="1" applyProtection="1">
      <alignment horizontal="center"/>
      <protection locked="0"/>
    </xf>
    <xf numFmtId="164" fontId="10" fillId="2" borderId="55" xfId="3" applyNumberFormat="1" applyFont="1" applyFill="1" applyBorder="1" applyAlignment="1">
      <alignment horizontal="center"/>
    </xf>
    <xf numFmtId="10" fontId="10" fillId="2" borderId="18" xfId="3" applyNumberFormat="1" applyFont="1" applyFill="1" applyBorder="1" applyAlignment="1">
      <alignment horizontal="center"/>
    </xf>
    <xf numFmtId="164" fontId="10" fillId="2" borderId="18" xfId="3" applyNumberFormat="1" applyFont="1" applyFill="1" applyBorder="1" applyAlignment="1">
      <alignment horizontal="center"/>
    </xf>
    <xf numFmtId="0" fontId="10" fillId="2" borderId="20" xfId="3" applyFont="1" applyFill="1" applyBorder="1" applyAlignment="1">
      <alignment horizontal="right"/>
    </xf>
    <xf numFmtId="164" fontId="11" fillId="7" borderId="28" xfId="3" applyNumberFormat="1" applyFont="1" applyFill="1" applyBorder="1" applyAlignment="1">
      <alignment horizontal="center"/>
    </xf>
    <xf numFmtId="10" fontId="11" fillId="7" borderId="53" xfId="3" applyNumberFormat="1" applyFont="1" applyFill="1" applyBorder="1" applyAlignment="1">
      <alignment horizontal="center"/>
    </xf>
    <xf numFmtId="166" fontId="11" fillId="7" borderId="12" xfId="3" applyNumberFormat="1" applyFont="1" applyFill="1" applyBorder="1" applyAlignment="1">
      <alignment horizontal="center"/>
    </xf>
    <xf numFmtId="2" fontId="10" fillId="2" borderId="56" xfId="3" applyNumberFormat="1" applyFont="1" applyFill="1" applyBorder="1"/>
    <xf numFmtId="164" fontId="10" fillId="8" borderId="56" xfId="3" applyNumberFormat="1" applyFont="1" applyFill="1" applyBorder="1"/>
    <xf numFmtId="0" fontId="10" fillId="2" borderId="50" xfId="3" applyFont="1" applyFill="1" applyBorder="1" applyAlignment="1">
      <alignment horizontal="right"/>
    </xf>
    <xf numFmtId="10" fontId="10" fillId="6" borderId="17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0" fontId="10" fillId="2" borderId="24" xfId="3" applyFont="1" applyFill="1" applyBorder="1" applyAlignment="1">
      <alignment horizontal="right"/>
    </xf>
    <xf numFmtId="0" fontId="10" fillId="7" borderId="18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2" borderId="57" xfId="3" applyNumberFormat="1" applyFont="1" applyFill="1" applyBorder="1"/>
    <xf numFmtId="2" fontId="10" fillId="8" borderId="56" xfId="3" applyNumberFormat="1" applyFont="1" applyFill="1" applyBorder="1"/>
    <xf numFmtId="2" fontId="10" fillId="2" borderId="58" xfId="3" applyNumberFormat="1" applyFont="1" applyFill="1" applyBorder="1"/>
    <xf numFmtId="0" fontId="3" fillId="2" borderId="0" xfId="3" applyFont="1" applyFill="1" applyAlignment="1">
      <alignment vertical="center"/>
    </xf>
    <xf numFmtId="0" fontId="10" fillId="2" borderId="0" xfId="3" applyFont="1" applyFill="1" applyAlignment="1">
      <alignment horizontal="left" vertical="center"/>
    </xf>
    <xf numFmtId="0" fontId="11" fillId="2" borderId="0" xfId="3" applyFont="1" applyFill="1" applyAlignment="1" applyProtection="1">
      <alignment horizontal="center" vertical="center"/>
      <protection locked="0"/>
    </xf>
    <xf numFmtId="0" fontId="10" fillId="2" borderId="0" xfId="3" applyFont="1" applyFill="1" applyAlignment="1">
      <alignment horizontal="center" vertical="center"/>
    </xf>
    <xf numFmtId="173" fontId="13" fillId="3" borderId="0" xfId="3" applyNumberFormat="1" applyFont="1" applyFill="1" applyAlignment="1" applyProtection="1">
      <alignment horizontal="center"/>
      <protection locked="0"/>
    </xf>
    <xf numFmtId="171" fontId="13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 vertical="center"/>
      <protection locked="0"/>
    </xf>
    <xf numFmtId="174" fontId="13" fillId="3" borderId="0" xfId="3" applyNumberFormat="1" applyFont="1" applyFill="1" applyAlignment="1" applyProtection="1">
      <alignment horizontal="center"/>
      <protection locked="0"/>
    </xf>
    <xf numFmtId="2" fontId="11" fillId="2" borderId="0" xfId="3" applyNumberFormat="1" applyFont="1" applyFill="1" applyAlignment="1">
      <alignment vertical="center"/>
    </xf>
    <xf numFmtId="2" fontId="11" fillId="2" borderId="12" xfId="3" applyNumberFormat="1" applyFont="1" applyFill="1" applyBorder="1" applyAlignment="1">
      <alignment horizontal="center" vertical="center"/>
    </xf>
    <xf numFmtId="2" fontId="11" fillId="2" borderId="33" xfId="3" applyNumberFormat="1" applyFont="1" applyFill="1" applyBorder="1" applyAlignment="1">
      <alignment horizontal="center" vertical="center"/>
    </xf>
    <xf numFmtId="2" fontId="11" fillId="2" borderId="12" xfId="3" applyNumberFormat="1" applyFont="1" applyFill="1" applyBorder="1" applyAlignment="1">
      <alignment vertical="center"/>
    </xf>
    <xf numFmtId="2" fontId="11" fillId="2" borderId="0" xfId="3" applyNumberFormat="1" applyFont="1" applyFill="1" applyAlignment="1">
      <alignment horizontal="center" vertical="center"/>
    </xf>
    <xf numFmtId="0" fontId="10" fillId="2" borderId="20" xfId="3" applyFont="1" applyFill="1" applyBorder="1" applyAlignment="1">
      <alignment horizontal="center"/>
    </xf>
    <xf numFmtId="2" fontId="13" fillId="3" borderId="20" xfId="3" applyNumberFormat="1" applyFont="1" applyFill="1" applyBorder="1" applyAlignment="1" applyProtection="1">
      <alignment horizontal="center"/>
      <protection locked="0"/>
    </xf>
    <xf numFmtId="170" fontId="13" fillId="3" borderId="21" xfId="3" applyNumberFormat="1" applyFont="1" applyFill="1" applyBorder="1" applyAlignment="1" applyProtection="1">
      <alignment horizontal="center"/>
      <protection locked="0"/>
    </xf>
    <xf numFmtId="2" fontId="13" fillId="3" borderId="23" xfId="3" applyNumberFormat="1" applyFont="1" applyFill="1" applyBorder="1" applyAlignment="1" applyProtection="1">
      <alignment horizontal="center"/>
      <protection locked="0"/>
    </xf>
    <xf numFmtId="170" fontId="10" fillId="2" borderId="49" xfId="3" applyNumberFormat="1" applyFont="1" applyFill="1" applyBorder="1" applyAlignment="1">
      <alignment horizontal="center" vertical="center"/>
    </xf>
    <xf numFmtId="166" fontId="10" fillId="2" borderId="28" xfId="3" applyNumberFormat="1" applyFont="1" applyFill="1" applyBorder="1" applyAlignment="1">
      <alignment horizontal="center" vertical="center"/>
    </xf>
    <xf numFmtId="2" fontId="10" fillId="2" borderId="29" xfId="3" applyNumberFormat="1" applyFont="1" applyFill="1" applyBorder="1" applyAlignment="1">
      <alignment horizontal="center"/>
    </xf>
    <xf numFmtId="2" fontId="10" fillId="2" borderId="49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0" fontId="10" fillId="2" borderId="50" xfId="3" applyFont="1" applyFill="1" applyBorder="1" applyAlignment="1">
      <alignment horizontal="center"/>
    </xf>
    <xf numFmtId="2" fontId="13" fillId="3" borderId="50" xfId="3" applyNumberFormat="1" applyFont="1" applyFill="1" applyBorder="1" applyAlignment="1" applyProtection="1">
      <alignment horizontal="center"/>
      <protection locked="0"/>
    </xf>
    <xf numFmtId="170" fontId="13" fillId="3" borderId="37" xfId="3" applyNumberFormat="1" applyFont="1" applyFill="1" applyBorder="1" applyAlignment="1" applyProtection="1">
      <alignment horizontal="center"/>
      <protection locked="0"/>
    </xf>
    <xf numFmtId="2" fontId="13" fillId="3" borderId="59" xfId="3" applyNumberFormat="1" applyFont="1" applyFill="1" applyBorder="1" applyAlignment="1" applyProtection="1">
      <alignment horizontal="center"/>
      <protection locked="0"/>
    </xf>
    <xf numFmtId="170" fontId="10" fillId="2" borderId="11" xfId="3" applyNumberFormat="1" applyFont="1" applyFill="1" applyBorder="1" applyAlignment="1">
      <alignment horizontal="center" vertical="center"/>
    </xf>
    <xf numFmtId="166" fontId="10" fillId="2" borderId="17" xfId="3" applyNumberFormat="1" applyFont="1" applyFill="1" applyBorder="1" applyAlignment="1">
      <alignment horizontal="center" vertical="center"/>
    </xf>
    <xf numFmtId="2" fontId="10" fillId="2" borderId="16" xfId="3" applyNumberFormat="1" applyFont="1" applyFill="1" applyBorder="1" applyAlignment="1">
      <alignment horizontal="center"/>
    </xf>
    <xf numFmtId="2" fontId="10" fillId="2" borderId="11" xfId="3" applyNumberFormat="1" applyFont="1" applyFill="1" applyBorder="1" applyAlignment="1">
      <alignment horizontal="center"/>
    </xf>
    <xf numFmtId="0" fontId="10" fillId="2" borderId="24" xfId="3" applyFont="1" applyFill="1" applyBorder="1" applyAlignment="1">
      <alignment horizontal="center"/>
    </xf>
    <xf numFmtId="2" fontId="13" fillId="3" borderId="24" xfId="3" applyNumberFormat="1" applyFont="1" applyFill="1" applyBorder="1" applyAlignment="1" applyProtection="1">
      <alignment horizontal="center"/>
      <protection locked="0"/>
    </xf>
    <xf numFmtId="170" fontId="13" fillId="3" borderId="25" xfId="3" applyNumberFormat="1" applyFont="1" applyFill="1" applyBorder="1" applyAlignment="1" applyProtection="1">
      <alignment horizontal="center"/>
      <protection locked="0"/>
    </xf>
    <xf numFmtId="2" fontId="13" fillId="3" borderId="27" xfId="3" applyNumberFormat="1" applyFont="1" applyFill="1" applyBorder="1" applyAlignment="1" applyProtection="1">
      <alignment horizontal="center"/>
      <protection locked="0"/>
    </xf>
    <xf numFmtId="0" fontId="10" fillId="2" borderId="55" xfId="3" applyFont="1" applyFill="1" applyBorder="1" applyAlignment="1">
      <alignment horizontal="center" vertical="center"/>
    </xf>
    <xf numFmtId="166" fontId="10" fillId="2" borderId="18" xfId="3" applyNumberFormat="1" applyFont="1" applyFill="1" applyBorder="1" applyAlignment="1">
      <alignment horizontal="center" vertical="center"/>
    </xf>
    <xf numFmtId="2" fontId="10" fillId="2" borderId="19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0" fontId="10" fillId="2" borderId="44" xfId="3" applyFont="1" applyFill="1" applyBorder="1" applyAlignment="1">
      <alignment horizontal="right"/>
    </xf>
    <xf numFmtId="166" fontId="11" fillId="7" borderId="14" xfId="3" applyNumberFormat="1" applyFont="1" applyFill="1" applyBorder="1" applyAlignment="1">
      <alignment horizontal="center"/>
    </xf>
    <xf numFmtId="2" fontId="13" fillId="7" borderId="14" xfId="3" applyNumberFormat="1" applyFont="1" applyFill="1" applyBorder="1" applyAlignment="1">
      <alignment horizontal="center"/>
    </xf>
    <xf numFmtId="2" fontId="13" fillId="7" borderId="44" xfId="3" applyNumberFormat="1" applyFont="1" applyFill="1" applyBorder="1" applyAlignment="1">
      <alignment horizontal="center"/>
    </xf>
    <xf numFmtId="10" fontId="13" fillId="7" borderId="14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10" fontId="12" fillId="2" borderId="17" xfId="3" applyNumberFormat="1" applyFont="1" applyFill="1" applyBorder="1" applyAlignment="1">
      <alignment horizontal="center"/>
    </xf>
    <xf numFmtId="10" fontId="12" fillId="6" borderId="50" xfId="3" applyNumberFormat="1" applyFont="1" applyFill="1" applyBorder="1" applyAlignment="1">
      <alignment horizontal="center"/>
    </xf>
    <xf numFmtId="10" fontId="12" fillId="6" borderId="17" xfId="3" applyNumberFormat="1" applyFont="1" applyFill="1" applyBorder="1" applyAlignment="1">
      <alignment horizontal="center"/>
    </xf>
    <xf numFmtId="10" fontId="12" fillId="2" borderId="0" xfId="3" applyNumberFormat="1" applyFont="1" applyFill="1" applyAlignment="1">
      <alignment horizontal="center"/>
    </xf>
    <xf numFmtId="0" fontId="12" fillId="7" borderId="18" xfId="3" applyFont="1" applyFill="1" applyBorder="1" applyAlignment="1">
      <alignment horizontal="center"/>
    </xf>
    <xf numFmtId="0" fontId="12" fillId="7" borderId="24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16" fillId="2" borderId="9" xfId="3" applyFont="1" applyFill="1" applyBorder="1" applyAlignment="1">
      <alignment horizontal="left" vertical="center" wrapText="1"/>
    </xf>
    <xf numFmtId="0" fontId="10" fillId="2" borderId="9" xfId="3" applyFont="1" applyFill="1" applyBorder="1" applyAlignment="1">
      <alignment vertical="center"/>
    </xf>
    <xf numFmtId="0" fontId="11" fillId="2" borderId="10" xfId="3" applyFont="1" applyFill="1" applyBorder="1" applyAlignment="1">
      <alignment horizontal="center" vertical="center"/>
    </xf>
    <xf numFmtId="0" fontId="10" fillId="2" borderId="10" xfId="3" applyFont="1" applyFill="1" applyBorder="1" applyAlignment="1">
      <alignment horizontal="center" vertical="center"/>
    </xf>
    <xf numFmtId="0" fontId="11" fillId="2" borderId="0" xfId="3" applyFont="1" applyFill="1" applyAlignment="1">
      <alignment horizontal="right" vertical="center"/>
    </xf>
    <xf numFmtId="0" fontId="10" fillId="2" borderId="7" xfId="3" applyFont="1" applyFill="1" applyBorder="1" applyAlignment="1" applyProtection="1">
      <alignment vertical="center"/>
      <protection locked="0"/>
    </xf>
    <xf numFmtId="0" fontId="10" fillId="2" borderId="7" xfId="3" applyFont="1" applyFill="1" applyBorder="1" applyAlignment="1">
      <alignment vertical="center"/>
    </xf>
    <xf numFmtId="0" fontId="11" fillId="2" borderId="11" xfId="3" applyFont="1" applyFill="1" applyBorder="1" applyAlignment="1" applyProtection="1">
      <alignment vertical="center"/>
      <protection locked="0"/>
    </xf>
    <xf numFmtId="0" fontId="11" fillId="2" borderId="11" xfId="3" applyFont="1" applyFill="1" applyBorder="1" applyAlignment="1">
      <alignment vertical="center"/>
    </xf>
    <xf numFmtId="0" fontId="10" fillId="2" borderId="11" xfId="3" applyFont="1" applyFill="1" applyBorder="1" applyAlignment="1">
      <alignment vertical="center"/>
    </xf>
    <xf numFmtId="2" fontId="10" fillId="2" borderId="0" xfId="3" applyNumberFormat="1" applyFont="1" applyFill="1" applyAlignment="1">
      <alignment horizontal="center" vertical="center"/>
    </xf>
    <xf numFmtId="0" fontId="1" fillId="2" borderId="0" xfId="5" applyFont="1" applyFill="1"/>
    <xf numFmtId="0" fontId="3" fillId="2" borderId="0" xfId="5" applyFont="1" applyFill="1" applyAlignment="1">
      <alignment horizontal="center"/>
    </xf>
    <xf numFmtId="0" fontId="11" fillId="2" borderId="0" xfId="5" applyFont="1" applyFill="1" applyAlignment="1">
      <alignment vertical="center"/>
    </xf>
    <xf numFmtId="0" fontId="13" fillId="3" borderId="0" xfId="5" applyFont="1" applyFill="1" applyAlignment="1" applyProtection="1">
      <alignment vertical="center"/>
      <protection locked="0"/>
    </xf>
    <xf numFmtId="0" fontId="11" fillId="3" borderId="0" xfId="5" applyFont="1" applyFill="1" applyAlignment="1" applyProtection="1">
      <alignment vertical="center"/>
      <protection locked="0"/>
    </xf>
    <xf numFmtId="0" fontId="12" fillId="3" borderId="0" xfId="5" applyFont="1" applyFill="1" applyAlignment="1" applyProtection="1">
      <alignment horizontal="left" vertical="center"/>
      <protection locked="0"/>
    </xf>
    <xf numFmtId="0" fontId="10" fillId="2" borderId="0" xfId="5" applyFont="1" applyFill="1" applyAlignment="1">
      <alignment vertical="center"/>
    </xf>
    <xf numFmtId="15" fontId="12" fillId="3" borderId="0" xfId="5" applyNumberFormat="1" applyFont="1" applyFill="1" applyAlignment="1" applyProtection="1">
      <alignment horizontal="left" vertical="center"/>
      <protection locked="0"/>
    </xf>
    <xf numFmtId="15" fontId="10" fillId="2" borderId="0" xfId="5" applyNumberFormat="1" applyFont="1" applyFill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right" vertical="center"/>
    </xf>
    <xf numFmtId="175" fontId="13" fillId="3" borderId="0" xfId="5" applyNumberFormat="1" applyFont="1" applyFill="1" applyAlignment="1" applyProtection="1">
      <alignment horizontal="left"/>
      <protection locked="0"/>
    </xf>
    <xf numFmtId="2" fontId="13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horizontal="right"/>
    </xf>
    <xf numFmtId="2" fontId="13" fillId="3" borderId="0" xfId="5" applyNumberFormat="1" applyFont="1" applyFill="1" applyAlignment="1" applyProtection="1">
      <alignment horizontal="left"/>
      <protection locked="0"/>
    </xf>
    <xf numFmtId="0" fontId="10" fillId="2" borderId="0" xfId="5" applyFont="1" applyFill="1"/>
    <xf numFmtId="0" fontId="10" fillId="2" borderId="35" xfId="5" applyFont="1" applyFill="1" applyBorder="1" applyAlignment="1">
      <alignment horizontal="right" vertical="center"/>
    </xf>
    <xf numFmtId="2" fontId="13" fillId="2" borderId="0" xfId="5" applyNumberFormat="1" applyFont="1" applyFill="1" applyAlignment="1" applyProtection="1">
      <alignment horizontal="center"/>
      <protection locked="0"/>
    </xf>
    <xf numFmtId="0" fontId="16" fillId="2" borderId="0" xfId="5" applyFont="1" applyFill="1" applyAlignment="1">
      <alignment vertical="center" wrapText="1"/>
    </xf>
    <xf numFmtId="0" fontId="10" fillId="2" borderId="0" xfId="5" applyFont="1" applyFill="1" applyAlignment="1">
      <alignment horizontal="right" vertical="center"/>
    </xf>
    <xf numFmtId="172" fontId="13" fillId="3" borderId="0" xfId="5" applyNumberFormat="1" applyFont="1" applyFill="1" applyAlignment="1" applyProtection="1">
      <alignment horizontal="center"/>
      <protection locked="0"/>
    </xf>
    <xf numFmtId="2" fontId="10" fillId="2" borderId="0" xfId="5" applyNumberFormat="1" applyFont="1" applyFill="1" applyAlignment="1">
      <alignment horizontal="right"/>
    </xf>
    <xf numFmtId="2" fontId="11" fillId="2" borderId="0" xfId="5" applyNumberFormat="1" applyFont="1" applyFill="1" applyAlignment="1">
      <alignment horizontal="centerContinuous"/>
    </xf>
    <xf numFmtId="0" fontId="11" fillId="2" borderId="0" xfId="5" applyFont="1" applyFill="1" applyAlignment="1">
      <alignment horizontal="center" vertical="center"/>
    </xf>
    <xf numFmtId="2" fontId="11" fillId="2" borderId="31" xfId="5" applyNumberFormat="1" applyFont="1" applyFill="1" applyBorder="1" applyAlignment="1">
      <alignment horizontal="center" vertical="center"/>
    </xf>
    <xf numFmtId="2" fontId="11" fillId="2" borderId="10" xfId="5" applyNumberFormat="1" applyFont="1" applyFill="1" applyBorder="1" applyAlignment="1">
      <alignment horizontal="center" vertical="center"/>
    </xf>
    <xf numFmtId="2" fontId="11" fillId="2" borderId="34" xfId="5" applyNumberFormat="1" applyFont="1" applyFill="1" applyBorder="1" applyAlignment="1">
      <alignment horizontal="center" vertical="center"/>
    </xf>
    <xf numFmtId="0" fontId="10" fillId="2" borderId="28" xfId="5" applyFont="1" applyFill="1" applyBorder="1" applyAlignment="1">
      <alignment horizontal="center"/>
    </xf>
    <xf numFmtId="2" fontId="13" fillId="3" borderId="20" xfId="5" applyNumberFormat="1" applyFont="1" applyFill="1" applyBorder="1" applyAlignment="1" applyProtection="1">
      <alignment horizontal="center"/>
      <protection locked="0"/>
    </xf>
    <xf numFmtId="166" fontId="10" fillId="2" borderId="28" xfId="5" applyNumberFormat="1" applyFont="1" applyFill="1" applyBorder="1" applyAlignment="1">
      <alignment horizontal="center"/>
    </xf>
    <xf numFmtId="2" fontId="13" fillId="3" borderId="29" xfId="5" applyNumberFormat="1" applyFont="1" applyFill="1" applyBorder="1" applyAlignment="1" applyProtection="1">
      <alignment horizontal="center"/>
      <protection locked="0"/>
    </xf>
    <xf numFmtId="164" fontId="10" fillId="2" borderId="49" xfId="5" applyNumberFormat="1" applyFont="1" applyFill="1" applyBorder="1" applyAlignment="1">
      <alignment horizontal="center"/>
    </xf>
    <xf numFmtId="10" fontId="10" fillId="2" borderId="20" xfId="5" applyNumberFormat="1" applyFont="1" applyFill="1" applyBorder="1" applyAlignment="1">
      <alignment horizontal="center"/>
    </xf>
    <xf numFmtId="164" fontId="10" fillId="2" borderId="28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center"/>
    </xf>
    <xf numFmtId="2" fontId="13" fillId="3" borderId="50" xfId="5" applyNumberFormat="1" applyFont="1" applyFill="1" applyBorder="1" applyAlignment="1" applyProtection="1">
      <alignment horizontal="center"/>
      <protection locked="0"/>
    </xf>
    <xf numFmtId="166" fontId="10" fillId="2" borderId="17" xfId="5" applyNumberFormat="1" applyFont="1" applyFill="1" applyBorder="1" applyAlignment="1">
      <alignment horizontal="center"/>
    </xf>
    <xf numFmtId="2" fontId="13" fillId="3" borderId="16" xfId="5" applyNumberFormat="1" applyFont="1" applyFill="1" applyBorder="1" applyAlignment="1" applyProtection="1">
      <alignment horizontal="center"/>
      <protection locked="0"/>
    </xf>
    <xf numFmtId="164" fontId="10" fillId="2" borderId="11" xfId="5" applyNumberFormat="1" applyFont="1" applyFill="1" applyBorder="1" applyAlignment="1">
      <alignment horizontal="center"/>
    </xf>
    <xf numFmtId="10" fontId="10" fillId="2" borderId="50" xfId="5" applyNumberFormat="1" applyFont="1" applyFill="1" applyBorder="1" applyAlignment="1">
      <alignment horizontal="center"/>
    </xf>
    <xf numFmtId="164" fontId="10" fillId="2" borderId="17" xfId="5" applyNumberFormat="1" applyFont="1" applyFill="1" applyBorder="1" applyAlignment="1">
      <alignment horizontal="center"/>
    </xf>
    <xf numFmtId="0" fontId="10" fillId="2" borderId="18" xfId="5" applyFont="1" applyFill="1" applyBorder="1" applyAlignment="1">
      <alignment horizontal="center"/>
    </xf>
    <xf numFmtId="2" fontId="13" fillId="3" borderId="24" xfId="5" applyNumberFormat="1" applyFont="1" applyFill="1" applyBorder="1" applyAlignment="1" applyProtection="1">
      <alignment horizontal="center"/>
      <protection locked="0"/>
    </xf>
    <xf numFmtId="166" fontId="10" fillId="2" borderId="18" xfId="5" applyNumberFormat="1" applyFont="1" applyFill="1" applyBorder="1" applyAlignment="1">
      <alignment horizontal="center"/>
    </xf>
    <xf numFmtId="2" fontId="13" fillId="3" borderId="19" xfId="5" applyNumberFormat="1" applyFont="1" applyFill="1" applyBorder="1" applyAlignment="1" applyProtection="1">
      <alignment horizontal="center"/>
      <protection locked="0"/>
    </xf>
    <xf numFmtId="164" fontId="10" fillId="2" borderId="55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/>
    </xf>
    <xf numFmtId="164" fontId="10" fillId="2" borderId="18" xfId="5" applyNumberFormat="1" applyFont="1" applyFill="1" applyBorder="1" applyAlignment="1">
      <alignment horizontal="center"/>
    </xf>
    <xf numFmtId="0" fontId="10" fillId="2" borderId="20" xfId="5" applyFont="1" applyFill="1" applyBorder="1" applyAlignment="1">
      <alignment horizontal="right"/>
    </xf>
    <xf numFmtId="164" fontId="11" fillId="7" borderId="28" xfId="5" applyNumberFormat="1" applyFont="1" applyFill="1" applyBorder="1" applyAlignment="1">
      <alignment horizontal="center"/>
    </xf>
    <xf numFmtId="10" fontId="11" fillId="7" borderId="53" xfId="5" applyNumberFormat="1" applyFont="1" applyFill="1" applyBorder="1" applyAlignment="1">
      <alignment horizontal="center"/>
    </xf>
    <xf numFmtId="166" fontId="11" fillId="7" borderId="32" xfId="5" applyNumberFormat="1" applyFont="1" applyFill="1" applyBorder="1" applyAlignment="1">
      <alignment horizontal="center"/>
    </xf>
    <xf numFmtId="2" fontId="10" fillId="2" borderId="56" xfId="5" applyNumberFormat="1" applyFont="1" applyFill="1" applyBorder="1"/>
    <xf numFmtId="164" fontId="10" fillId="8" borderId="56" xfId="5" applyNumberFormat="1" applyFont="1" applyFill="1" applyBorder="1"/>
    <xf numFmtId="0" fontId="10" fillId="2" borderId="50" xfId="5" applyFont="1" applyFill="1" applyBorder="1" applyAlignment="1">
      <alignment horizontal="right"/>
    </xf>
    <xf numFmtId="10" fontId="10" fillId="6" borderId="17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0" fontId="10" fillId="2" borderId="24" xfId="5" applyFont="1" applyFill="1" applyBorder="1" applyAlignment="1">
      <alignment horizontal="right"/>
    </xf>
    <xf numFmtId="0" fontId="10" fillId="7" borderId="18" xfId="5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0" fontId="3" fillId="2" borderId="0" xfId="5" applyFont="1" applyFill="1" applyAlignment="1">
      <alignment vertical="center"/>
    </xf>
    <xf numFmtId="168" fontId="11" fillId="3" borderId="0" xfId="5" applyNumberFormat="1" applyFont="1" applyFill="1" applyAlignment="1" applyProtection="1">
      <alignment horizontal="center" vertical="center"/>
      <protection locked="0"/>
    </xf>
    <xf numFmtId="0" fontId="10" fillId="2" borderId="0" xfId="5" applyFont="1" applyFill="1" applyAlignment="1">
      <alignment horizontal="center" vertical="center"/>
    </xf>
    <xf numFmtId="2" fontId="10" fillId="2" borderId="0" xfId="5" applyNumberFormat="1" applyFont="1" applyFill="1" applyAlignment="1">
      <alignment horizontal="center"/>
    </xf>
    <xf numFmtId="2" fontId="11" fillId="2" borderId="0" xfId="5" applyNumberFormat="1" applyFont="1" applyFill="1" applyAlignment="1">
      <alignment vertical="center"/>
    </xf>
    <xf numFmtId="2" fontId="11" fillId="2" borderId="12" xfId="5" applyNumberFormat="1" applyFont="1" applyFill="1" applyBorder="1" applyAlignment="1">
      <alignment horizontal="center" vertical="center"/>
    </xf>
    <xf numFmtId="2" fontId="11" fillId="2" borderId="33" xfId="5" applyNumberFormat="1" applyFont="1" applyFill="1" applyBorder="1" applyAlignment="1">
      <alignment horizontal="center" vertical="center"/>
    </xf>
    <xf numFmtId="2" fontId="11" fillId="2" borderId="31" xfId="5" applyNumberFormat="1" applyFont="1" applyFill="1" applyBorder="1" applyAlignment="1">
      <alignment vertical="center"/>
    </xf>
    <xf numFmtId="2" fontId="11" fillId="2" borderId="0" xfId="5" applyNumberFormat="1" applyFont="1" applyFill="1" applyAlignment="1">
      <alignment horizontal="center" vertical="center"/>
    </xf>
    <xf numFmtId="0" fontId="10" fillId="2" borderId="20" xfId="5" applyFont="1" applyFill="1" applyBorder="1" applyAlignment="1">
      <alignment horizontal="center"/>
    </xf>
    <xf numFmtId="2" fontId="13" fillId="3" borderId="28" xfId="5" applyNumberFormat="1" applyFont="1" applyFill="1" applyBorder="1" applyAlignment="1" applyProtection="1">
      <alignment horizontal="center"/>
      <protection locked="0"/>
    </xf>
    <xf numFmtId="2" fontId="10" fillId="2" borderId="49" xfId="5" applyNumberFormat="1" applyFont="1" applyFill="1" applyBorder="1" applyAlignment="1">
      <alignment horizontal="center" vertical="center"/>
    </xf>
    <xf numFmtId="166" fontId="10" fillId="2" borderId="28" xfId="5" applyNumberFormat="1" applyFont="1" applyFill="1" applyBorder="1" applyAlignment="1">
      <alignment horizontal="center" vertical="center"/>
    </xf>
    <xf numFmtId="2" fontId="10" fillId="2" borderId="49" xfId="5" applyNumberFormat="1" applyFont="1" applyFill="1" applyBorder="1" applyAlignment="1">
      <alignment horizontal="center"/>
    </xf>
    <xf numFmtId="2" fontId="10" fillId="2" borderId="20" xfId="5" applyNumberFormat="1" applyFont="1" applyFill="1" applyBorder="1" applyAlignment="1">
      <alignment horizontal="center"/>
    </xf>
    <xf numFmtId="10" fontId="10" fillId="2" borderId="28" xfId="5" applyNumberFormat="1" applyFont="1" applyFill="1" applyBorder="1" applyAlignment="1">
      <alignment horizontal="center"/>
    </xf>
    <xf numFmtId="0" fontId="10" fillId="2" borderId="50" xfId="5" applyFont="1" applyFill="1" applyBorder="1" applyAlignment="1">
      <alignment horizontal="center"/>
    </xf>
    <xf numFmtId="2" fontId="13" fillId="3" borderId="17" xfId="5" applyNumberFormat="1" applyFont="1" applyFill="1" applyBorder="1" applyAlignment="1" applyProtection="1">
      <alignment horizontal="center"/>
      <protection locked="0"/>
    </xf>
    <xf numFmtId="2" fontId="10" fillId="2" borderId="11" xfId="5" applyNumberFormat="1" applyFont="1" applyFill="1" applyBorder="1" applyAlignment="1">
      <alignment horizontal="center" vertical="center"/>
    </xf>
    <xf numFmtId="166" fontId="10" fillId="2" borderId="17" xfId="5" applyNumberFormat="1" applyFont="1" applyFill="1" applyBorder="1" applyAlignment="1">
      <alignment horizontal="center" vertical="center"/>
    </xf>
    <xf numFmtId="2" fontId="10" fillId="2" borderId="11" xfId="5" applyNumberFormat="1" applyFont="1" applyFill="1" applyBorder="1" applyAlignment="1">
      <alignment horizontal="center"/>
    </xf>
    <xf numFmtId="2" fontId="10" fillId="2" borderId="50" xfId="5" applyNumberFormat="1" applyFont="1" applyFill="1" applyBorder="1" applyAlignment="1">
      <alignment horizontal="center"/>
    </xf>
    <xf numFmtId="10" fontId="10" fillId="2" borderId="17" xfId="5" applyNumberFormat="1" applyFont="1" applyFill="1" applyBorder="1" applyAlignment="1">
      <alignment horizontal="center"/>
    </xf>
    <xf numFmtId="0" fontId="10" fillId="2" borderId="24" xfId="5" applyFont="1" applyFill="1" applyBorder="1" applyAlignment="1">
      <alignment horizontal="center"/>
    </xf>
    <xf numFmtId="2" fontId="13" fillId="3" borderId="18" xfId="5" applyNumberFormat="1" applyFont="1" applyFill="1" applyBorder="1" applyAlignment="1" applyProtection="1">
      <alignment horizontal="center"/>
      <protection locked="0"/>
    </xf>
    <xf numFmtId="0" fontId="10" fillId="2" borderId="55" xfId="5" applyFont="1" applyFill="1" applyBorder="1" applyAlignment="1">
      <alignment horizontal="center" vertical="center"/>
    </xf>
    <xf numFmtId="166" fontId="10" fillId="2" borderId="18" xfId="5" applyNumberFormat="1" applyFont="1" applyFill="1" applyBorder="1" applyAlignment="1">
      <alignment horizontal="center" vertical="center"/>
    </xf>
    <xf numFmtId="2" fontId="10" fillId="2" borderId="55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0" fontId="10" fillId="2" borderId="18" xfId="5" applyNumberFormat="1" applyFont="1" applyFill="1" applyBorder="1" applyAlignment="1">
      <alignment horizontal="center"/>
    </xf>
    <xf numFmtId="0" fontId="10" fillId="2" borderId="44" xfId="5" applyFont="1" applyFill="1" applyBorder="1" applyAlignment="1">
      <alignment horizontal="right"/>
    </xf>
    <xf numFmtId="166" fontId="11" fillId="7" borderId="14" xfId="5" applyNumberFormat="1" applyFont="1" applyFill="1" applyBorder="1" applyAlignment="1">
      <alignment horizontal="center"/>
    </xf>
    <xf numFmtId="2" fontId="13" fillId="7" borderId="14" xfId="5" applyNumberFormat="1" applyFont="1" applyFill="1" applyBorder="1" applyAlignment="1">
      <alignment horizontal="center"/>
    </xf>
    <xf numFmtId="10" fontId="13" fillId="7" borderId="14" xfId="5" applyNumberFormat="1" applyFont="1" applyFill="1" applyBorder="1" applyAlignment="1">
      <alignment horizontal="center"/>
    </xf>
    <xf numFmtId="2" fontId="13" fillId="2" borderId="0" xfId="5" applyNumberFormat="1" applyFont="1" applyFill="1" applyAlignment="1">
      <alignment horizontal="center"/>
    </xf>
    <xf numFmtId="10" fontId="12" fillId="2" borderId="17" xfId="5" applyNumberFormat="1" applyFont="1" applyFill="1" applyBorder="1" applyAlignment="1">
      <alignment horizontal="center"/>
    </xf>
    <xf numFmtId="10" fontId="12" fillId="6" borderId="17" xfId="5" applyNumberFormat="1" applyFont="1" applyFill="1" applyBorder="1" applyAlignment="1">
      <alignment horizontal="center"/>
    </xf>
    <xf numFmtId="10" fontId="12" fillId="2" borderId="0" xfId="5" applyNumberFormat="1" applyFont="1" applyFill="1" applyAlignment="1">
      <alignment horizontal="center"/>
    </xf>
    <xf numFmtId="0" fontId="12" fillId="7" borderId="18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6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 applyAlignment="1">
      <alignment vertical="center"/>
    </xf>
    <xf numFmtId="0" fontId="11" fillId="2" borderId="10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10" fillId="2" borderId="7" xfId="5" applyFont="1" applyFill="1" applyBorder="1" applyAlignment="1" applyProtection="1">
      <alignment vertical="center"/>
      <protection locked="0"/>
    </xf>
    <xf numFmtId="0" fontId="10" fillId="2" borderId="7" xfId="5" applyFont="1" applyFill="1" applyBorder="1" applyAlignment="1">
      <alignment vertical="center"/>
    </xf>
    <xf numFmtId="0" fontId="11" fillId="2" borderId="11" xfId="5" applyFont="1" applyFill="1" applyBorder="1" applyAlignment="1" applyProtection="1">
      <alignment vertical="center"/>
      <protection locked="0"/>
    </xf>
    <xf numFmtId="0" fontId="11" fillId="2" borderId="11" xfId="5" applyFont="1" applyFill="1" applyBorder="1" applyAlignment="1">
      <alignment vertical="center"/>
    </xf>
    <xf numFmtId="0" fontId="10" fillId="2" borderId="11" xfId="5" applyFont="1" applyFill="1" applyBorder="1" applyAlignment="1">
      <alignment vertical="center"/>
    </xf>
    <xf numFmtId="2" fontId="10" fillId="2" borderId="0" xfId="5" applyNumberFormat="1" applyFont="1" applyFill="1" applyAlignment="1">
      <alignment horizontal="center" vertical="center"/>
    </xf>
    <xf numFmtId="0" fontId="21" fillId="2" borderId="0" xfId="5" applyFill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54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6" fillId="2" borderId="54" xfId="1" applyFont="1" applyFill="1" applyBorder="1" applyAlignment="1">
      <alignment horizontal="justify" vertical="center" wrapText="1"/>
    </xf>
    <xf numFmtId="0" fontId="16" fillId="2" borderId="30" xfId="1" applyFont="1" applyFill="1" applyBorder="1" applyAlignment="1">
      <alignment horizontal="justify" vertical="center" wrapText="1"/>
    </xf>
    <xf numFmtId="0" fontId="16" fillId="2" borderId="13" xfId="1" applyFont="1" applyFill="1" applyBorder="1" applyAlignment="1">
      <alignment horizontal="justify" vertical="center" wrapText="1"/>
    </xf>
    <xf numFmtId="0" fontId="16" fillId="2" borderId="54" xfId="1" applyFont="1" applyFill="1" applyBorder="1" applyAlignment="1">
      <alignment horizontal="left" vertical="center" wrapText="1"/>
    </xf>
    <xf numFmtId="0" fontId="16" fillId="2" borderId="30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1" fillId="2" borderId="20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6" fillId="2" borderId="33" xfId="1" applyFont="1" applyFill="1" applyBorder="1" applyAlignment="1">
      <alignment horizontal="left" vertical="center" wrapText="1"/>
    </xf>
    <xf numFmtId="0" fontId="16" fillId="2" borderId="34" xfId="1" applyFont="1" applyFill="1" applyBorder="1" applyAlignment="1">
      <alignment horizontal="left" vertical="center" wrapText="1"/>
    </xf>
    <xf numFmtId="0" fontId="16" fillId="2" borderId="51" xfId="1" applyFont="1" applyFill="1" applyBorder="1" applyAlignment="1">
      <alignment horizontal="left" vertical="center" wrapText="1"/>
    </xf>
    <xf numFmtId="0" fontId="16" fillId="2" borderId="53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2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1" fillId="2" borderId="5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6" fillId="2" borderId="54" xfId="3" applyFont="1" applyFill="1" applyBorder="1" applyAlignment="1">
      <alignment horizontal="center" vertical="center"/>
    </xf>
    <xf numFmtId="0" fontId="16" fillId="2" borderId="30" xfId="3" applyFont="1" applyFill="1" applyBorder="1" applyAlignment="1">
      <alignment horizontal="center" vertical="center"/>
    </xf>
    <xf numFmtId="0" fontId="16" fillId="2" borderId="13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2" fontId="11" fillId="2" borderId="54" xfId="3" applyNumberFormat="1" applyFont="1" applyFill="1" applyBorder="1" applyAlignment="1">
      <alignment horizontal="center" vertical="center"/>
    </xf>
    <xf numFmtId="2" fontId="11" fillId="2" borderId="13" xfId="3" applyNumberFormat="1" applyFont="1" applyFill="1" applyBorder="1" applyAlignment="1">
      <alignment horizontal="center" vertical="center"/>
    </xf>
    <xf numFmtId="0" fontId="11" fillId="2" borderId="10" xfId="3" applyFont="1" applyFill="1" applyBorder="1" applyAlignment="1">
      <alignment horizontal="center" vertic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54" xfId="5" applyFont="1" applyFill="1" applyBorder="1" applyAlignment="1">
      <alignment horizontal="center" vertical="center"/>
    </xf>
    <xf numFmtId="0" fontId="16" fillId="2" borderId="30" xfId="5" applyFont="1" applyFill="1" applyBorder="1" applyAlignment="1">
      <alignment horizontal="center" vertical="center"/>
    </xf>
    <xf numFmtId="0" fontId="16" fillId="2" borderId="13" xfId="5" applyFont="1" applyFill="1" applyBorder="1" applyAlignment="1">
      <alignment horizontal="center" vertical="center"/>
    </xf>
    <xf numFmtId="0" fontId="3" fillId="2" borderId="10" xfId="5" applyFont="1" applyFill="1" applyBorder="1" applyAlignment="1">
      <alignment horizontal="center" vertical="center"/>
    </xf>
    <xf numFmtId="2" fontId="11" fillId="2" borderId="54" xfId="5" applyNumberFormat="1" applyFont="1" applyFill="1" applyBorder="1" applyAlignment="1">
      <alignment horizontal="center" vertical="center"/>
    </xf>
    <xf numFmtId="2" fontId="11" fillId="2" borderId="13" xfId="5" applyNumberFormat="1" applyFont="1" applyFill="1" applyBorder="1" applyAlignment="1">
      <alignment horizontal="center" vertical="center"/>
    </xf>
    <xf numFmtId="0" fontId="11" fillId="2" borderId="10" xfId="5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4"/>
    <cellStyle name="Normal 3" xfId="2"/>
    <cellStyle name="Normal 4" xfId="3"/>
    <cellStyle name="Normal 5" xfId="5"/>
    <cellStyle name="Normal 6" xfId="6"/>
  </cellStyles>
  <dxfs count="2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TTO/Analysis%202017/Dec/NDQB20170917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</sheetNames>
    <sheetDataSet>
      <sheetData sheetId="0" refreshError="1"/>
      <sheetData sheetId="1">
        <row r="46">
          <cell r="C46" t="str">
            <v>% Deviation from mean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53" sqref="C53"/>
    </sheetView>
  </sheetViews>
  <sheetFormatPr defaultRowHeight="13.5" x14ac:dyDescent="0.25"/>
  <cols>
    <col min="1" max="1" width="27.5703125" style="160" customWidth="1"/>
    <col min="2" max="2" width="20.42578125" style="160" customWidth="1"/>
    <col min="3" max="3" width="31.85546875" style="160" customWidth="1"/>
    <col min="4" max="4" width="25.85546875" style="160" customWidth="1"/>
    <col min="5" max="5" width="25.7109375" style="160" customWidth="1"/>
    <col min="6" max="6" width="23.140625" style="160" customWidth="1"/>
    <col min="7" max="7" width="28.42578125" style="160" customWidth="1"/>
    <col min="8" max="8" width="21.5703125" style="160" customWidth="1"/>
    <col min="9" max="9" width="9.140625" style="160" customWidth="1"/>
    <col min="10" max="16384" width="9.140625" style="196"/>
  </cols>
  <sheetData>
    <row r="14" spans="1:6" ht="15" customHeight="1" x14ac:dyDescent="0.3">
      <c r="A14" s="159"/>
      <c r="C14" s="161"/>
      <c r="F14" s="161"/>
    </row>
    <row r="15" spans="1:6" ht="18.75" customHeight="1" x14ac:dyDescent="0.3">
      <c r="A15" s="445" t="s">
        <v>0</v>
      </c>
      <c r="B15" s="445"/>
      <c r="C15" s="445"/>
      <c r="D15" s="445"/>
      <c r="E15" s="445"/>
    </row>
    <row r="16" spans="1:6" ht="16.5" customHeight="1" x14ac:dyDescent="0.3">
      <c r="A16" s="162" t="s">
        <v>1</v>
      </c>
      <c r="B16" s="163" t="s">
        <v>2</v>
      </c>
    </row>
    <row r="17" spans="1:5" ht="16.5" customHeight="1" x14ac:dyDescent="0.3">
      <c r="A17" s="164" t="s">
        <v>3</v>
      </c>
      <c r="B17" s="164" t="s">
        <v>112</v>
      </c>
      <c r="D17" s="165"/>
      <c r="E17" s="166"/>
    </row>
    <row r="18" spans="1:5" ht="16.5" customHeight="1" x14ac:dyDescent="0.3">
      <c r="A18" s="167" t="s">
        <v>4</v>
      </c>
      <c r="B18" s="160" t="s">
        <v>116</v>
      </c>
      <c r="C18" s="166"/>
      <c r="D18" s="166"/>
      <c r="E18" s="166"/>
    </row>
    <row r="19" spans="1:5" ht="16.5" customHeight="1" x14ac:dyDescent="0.3">
      <c r="A19" s="167" t="s">
        <v>6</v>
      </c>
      <c r="B19" s="168">
        <v>99.8</v>
      </c>
      <c r="C19" s="166"/>
      <c r="D19" s="166"/>
      <c r="E19" s="166"/>
    </row>
    <row r="20" spans="1:5" ht="16.5" customHeight="1" x14ac:dyDescent="0.3">
      <c r="A20" s="164" t="s">
        <v>8</v>
      </c>
      <c r="B20" s="168">
        <v>42.54</v>
      </c>
      <c r="C20" s="166"/>
      <c r="D20" s="166"/>
      <c r="E20" s="166"/>
    </row>
    <row r="21" spans="1:5" ht="16.5" customHeight="1" x14ac:dyDescent="0.3">
      <c r="A21" s="164" t="s">
        <v>10</v>
      </c>
      <c r="B21" s="169">
        <f>B20/10</f>
        <v>4.2539999999999996</v>
      </c>
      <c r="C21" s="166"/>
      <c r="D21" s="166"/>
      <c r="E21" s="166"/>
    </row>
    <row r="22" spans="1:5" ht="15.75" customHeight="1" x14ac:dyDescent="0.25">
      <c r="A22" s="166"/>
      <c r="B22" s="166" t="s">
        <v>113</v>
      </c>
      <c r="C22" s="166"/>
      <c r="D22" s="166"/>
      <c r="E22" s="166"/>
    </row>
    <row r="23" spans="1:5" ht="16.5" customHeight="1" x14ac:dyDescent="0.3">
      <c r="A23" s="170" t="s">
        <v>13</v>
      </c>
      <c r="B23" s="171" t="s">
        <v>14</v>
      </c>
      <c r="C23" s="170" t="s">
        <v>15</v>
      </c>
      <c r="D23" s="170" t="s">
        <v>16</v>
      </c>
      <c r="E23" s="170" t="s">
        <v>17</v>
      </c>
    </row>
    <row r="24" spans="1:5" ht="16.5" customHeight="1" x14ac:dyDescent="0.3">
      <c r="A24" s="172">
        <v>1</v>
      </c>
      <c r="B24" s="173">
        <v>12485143</v>
      </c>
      <c r="C24" s="173">
        <v>7618.2</v>
      </c>
      <c r="D24" s="174">
        <v>1.1000000000000001</v>
      </c>
      <c r="E24" s="175">
        <v>11.5</v>
      </c>
    </row>
    <row r="25" spans="1:5" ht="16.5" customHeight="1" x14ac:dyDescent="0.3">
      <c r="A25" s="172">
        <v>2</v>
      </c>
      <c r="B25" s="173">
        <v>12575348</v>
      </c>
      <c r="C25" s="173">
        <v>7747.1</v>
      </c>
      <c r="D25" s="174">
        <v>1.1000000000000001</v>
      </c>
      <c r="E25" s="174">
        <v>11.5</v>
      </c>
    </row>
    <row r="26" spans="1:5" ht="16.5" customHeight="1" x14ac:dyDescent="0.3">
      <c r="A26" s="172">
        <v>3</v>
      </c>
      <c r="B26" s="173">
        <v>12529493</v>
      </c>
      <c r="C26" s="173">
        <v>7669.5</v>
      </c>
      <c r="D26" s="174">
        <v>1.1000000000000001</v>
      </c>
      <c r="E26" s="174">
        <v>11.5</v>
      </c>
    </row>
    <row r="27" spans="1:5" ht="16.5" customHeight="1" x14ac:dyDescent="0.3">
      <c r="A27" s="172">
        <v>4</v>
      </c>
      <c r="B27" s="173">
        <v>12600569</v>
      </c>
      <c r="C27" s="173">
        <v>7657.8</v>
      </c>
      <c r="D27" s="174">
        <v>1.1000000000000001</v>
      </c>
      <c r="E27" s="174">
        <v>11.5</v>
      </c>
    </row>
    <row r="28" spans="1:5" ht="16.5" customHeight="1" x14ac:dyDescent="0.3">
      <c r="A28" s="172">
        <v>5</v>
      </c>
      <c r="B28" s="173">
        <v>12528346</v>
      </c>
      <c r="C28" s="173">
        <v>7645.9</v>
      </c>
      <c r="D28" s="174">
        <v>1.1000000000000001</v>
      </c>
      <c r="E28" s="174">
        <v>11.5</v>
      </c>
    </row>
    <row r="29" spans="1:5" ht="16.5" customHeight="1" x14ac:dyDescent="0.3">
      <c r="A29" s="172">
        <v>6</v>
      </c>
      <c r="B29" s="176">
        <v>12576516</v>
      </c>
      <c r="C29" s="176">
        <v>7574.8</v>
      </c>
      <c r="D29" s="177">
        <v>1.2</v>
      </c>
      <c r="E29" s="177">
        <v>11.5</v>
      </c>
    </row>
    <row r="30" spans="1:5" ht="16.5" customHeight="1" x14ac:dyDescent="0.3">
      <c r="A30" s="178" t="s">
        <v>18</v>
      </c>
      <c r="B30" s="179">
        <f>AVERAGE(B24:B29)</f>
        <v>12549235.833333334</v>
      </c>
      <c r="C30" s="180">
        <f>AVERAGE(C24:C29)</f>
        <v>7652.2166666666672</v>
      </c>
      <c r="D30" s="181">
        <f>AVERAGE(D24:D29)</f>
        <v>1.1166666666666667</v>
      </c>
      <c r="E30" s="181">
        <f>AVERAGE(E24:E29)</f>
        <v>11.5</v>
      </c>
    </row>
    <row r="31" spans="1:5" ht="16.5" customHeight="1" x14ac:dyDescent="0.3">
      <c r="A31" s="182" t="s">
        <v>19</v>
      </c>
      <c r="B31" s="183">
        <f>(STDEV(B24:B29)/B30)</f>
        <v>3.3798948732576416E-3</v>
      </c>
      <c r="C31" s="184"/>
      <c r="D31" s="184"/>
      <c r="E31" s="185"/>
    </row>
    <row r="32" spans="1:5" s="160" customFormat="1" ht="16.5" customHeight="1" x14ac:dyDescent="0.3">
      <c r="A32" s="186" t="s">
        <v>20</v>
      </c>
      <c r="B32" s="187">
        <f>COUNT(B24:B29)</f>
        <v>6</v>
      </c>
      <c r="C32" s="188"/>
      <c r="D32" s="189"/>
      <c r="E32" s="190"/>
    </row>
    <row r="33" spans="1:5" s="160" customFormat="1" ht="15.75" customHeight="1" x14ac:dyDescent="0.25">
      <c r="A33" s="166"/>
      <c r="B33" s="166"/>
      <c r="C33" s="166"/>
      <c r="D33" s="166"/>
      <c r="E33" s="166"/>
    </row>
    <row r="34" spans="1:5" s="160" customFormat="1" ht="16.5" customHeight="1" x14ac:dyDescent="0.3">
      <c r="A34" s="167" t="s">
        <v>21</v>
      </c>
      <c r="B34" s="191" t="s">
        <v>22</v>
      </c>
      <c r="C34" s="192"/>
      <c r="D34" s="192"/>
      <c r="E34" s="192"/>
    </row>
    <row r="35" spans="1:5" ht="16.5" customHeight="1" x14ac:dyDescent="0.3">
      <c r="A35" s="167"/>
      <c r="B35" s="191" t="s">
        <v>23</v>
      </c>
      <c r="C35" s="192"/>
      <c r="D35" s="192"/>
      <c r="E35" s="192"/>
    </row>
    <row r="36" spans="1:5" ht="16.5" customHeight="1" x14ac:dyDescent="0.3">
      <c r="A36" s="167"/>
      <c r="B36" s="191" t="s">
        <v>24</v>
      </c>
      <c r="C36" s="192"/>
      <c r="D36" s="192"/>
      <c r="E36" s="192"/>
    </row>
    <row r="37" spans="1:5" ht="15.75" customHeight="1" x14ac:dyDescent="0.25">
      <c r="A37" s="166"/>
      <c r="B37" s="166"/>
      <c r="C37" s="166"/>
      <c r="D37" s="166"/>
      <c r="E37" s="166"/>
    </row>
    <row r="38" spans="1:5" ht="16.5" customHeight="1" x14ac:dyDescent="0.3">
      <c r="A38" s="162" t="s">
        <v>1</v>
      </c>
      <c r="B38" s="163" t="s">
        <v>25</v>
      </c>
    </row>
    <row r="39" spans="1:5" ht="16.5" customHeight="1" x14ac:dyDescent="0.3">
      <c r="A39" s="167" t="s">
        <v>4</v>
      </c>
      <c r="B39" s="164"/>
      <c r="C39" s="166"/>
      <c r="D39" s="166"/>
      <c r="E39" s="166"/>
    </row>
    <row r="40" spans="1:5" ht="16.5" customHeight="1" x14ac:dyDescent="0.3">
      <c r="A40" s="167" t="s">
        <v>6</v>
      </c>
      <c r="B40" s="168"/>
      <c r="C40" s="166"/>
      <c r="D40" s="166"/>
      <c r="E40" s="166"/>
    </row>
    <row r="41" spans="1:5" ht="16.5" customHeight="1" x14ac:dyDescent="0.3">
      <c r="A41" s="164" t="s">
        <v>8</v>
      </c>
      <c r="B41" s="168"/>
      <c r="C41" s="166"/>
      <c r="D41" s="166"/>
      <c r="E41" s="166"/>
    </row>
    <row r="42" spans="1:5" ht="16.5" customHeight="1" x14ac:dyDescent="0.3">
      <c r="A42" s="164" t="s">
        <v>10</v>
      </c>
      <c r="B42" s="169"/>
      <c r="C42" s="166"/>
      <c r="D42" s="166"/>
      <c r="E42" s="166"/>
    </row>
    <row r="43" spans="1:5" ht="15.75" customHeight="1" x14ac:dyDescent="0.25">
      <c r="A43" s="166"/>
      <c r="B43" s="166"/>
      <c r="C43" s="166"/>
      <c r="D43" s="166"/>
      <c r="E43" s="166"/>
    </row>
    <row r="44" spans="1:5" ht="16.5" customHeight="1" x14ac:dyDescent="0.3">
      <c r="A44" s="170" t="s">
        <v>13</v>
      </c>
      <c r="B44" s="171" t="s">
        <v>14</v>
      </c>
      <c r="C44" s="170" t="s">
        <v>15</v>
      </c>
      <c r="D44" s="170" t="s">
        <v>16</v>
      </c>
      <c r="E44" s="170" t="s">
        <v>17</v>
      </c>
    </row>
    <row r="45" spans="1:5" ht="16.5" customHeight="1" x14ac:dyDescent="0.3">
      <c r="A45" s="172">
        <v>1</v>
      </c>
      <c r="B45" s="173"/>
      <c r="C45" s="173"/>
      <c r="D45" s="174"/>
      <c r="E45" s="175"/>
    </row>
    <row r="46" spans="1:5" ht="16.5" customHeight="1" x14ac:dyDescent="0.3">
      <c r="A46" s="172">
        <v>2</v>
      </c>
      <c r="B46" s="173"/>
      <c r="C46" s="173"/>
      <c r="D46" s="174"/>
      <c r="E46" s="174"/>
    </row>
    <row r="47" spans="1:5" ht="16.5" customHeight="1" x14ac:dyDescent="0.3">
      <c r="A47" s="172">
        <v>3</v>
      </c>
      <c r="B47" s="173"/>
      <c r="C47" s="173"/>
      <c r="D47" s="174"/>
      <c r="E47" s="174"/>
    </row>
    <row r="48" spans="1:5" ht="16.5" customHeight="1" x14ac:dyDescent="0.3">
      <c r="A48" s="172">
        <v>4</v>
      </c>
      <c r="B48" s="173"/>
      <c r="C48" s="173"/>
      <c r="D48" s="174"/>
      <c r="E48" s="174"/>
    </row>
    <row r="49" spans="1:7" ht="16.5" customHeight="1" x14ac:dyDescent="0.3">
      <c r="A49" s="172">
        <v>5</v>
      </c>
      <c r="B49" s="173"/>
      <c r="C49" s="173"/>
      <c r="D49" s="174"/>
      <c r="E49" s="174"/>
    </row>
    <row r="50" spans="1:7" ht="16.5" customHeight="1" x14ac:dyDescent="0.3">
      <c r="A50" s="172">
        <v>6</v>
      </c>
      <c r="B50" s="176"/>
      <c r="C50" s="176"/>
      <c r="D50" s="177"/>
      <c r="E50" s="177"/>
    </row>
    <row r="51" spans="1:7" ht="16.5" customHeight="1" x14ac:dyDescent="0.3">
      <c r="A51" s="178" t="s">
        <v>18</v>
      </c>
      <c r="B51" s="179" t="e">
        <f>AVERAGE(B45:B50)</f>
        <v>#DIV/0!</v>
      </c>
      <c r="C51" s="180" t="e">
        <f>AVERAGE(C45:C50)</f>
        <v>#DIV/0!</v>
      </c>
      <c r="D51" s="181" t="e">
        <f>AVERAGE(D45:D50)</f>
        <v>#DIV/0!</v>
      </c>
      <c r="E51" s="181" t="e">
        <f>AVERAGE(E45:E50)</f>
        <v>#DIV/0!</v>
      </c>
    </row>
    <row r="52" spans="1:7" ht="16.5" customHeight="1" x14ac:dyDescent="0.3">
      <c r="A52" s="182" t="s">
        <v>19</v>
      </c>
      <c r="B52" s="183" t="e">
        <f>(STDEV(B45:B50)/B51)</f>
        <v>#DIV/0!</v>
      </c>
      <c r="C52" s="184"/>
      <c r="D52" s="184"/>
      <c r="E52" s="185"/>
    </row>
    <row r="53" spans="1:7" s="160" customFormat="1" ht="16.5" customHeight="1" x14ac:dyDescent="0.3">
      <c r="A53" s="186" t="s">
        <v>20</v>
      </c>
      <c r="B53" s="187">
        <f>COUNT(B45:B50)</f>
        <v>0</v>
      </c>
      <c r="C53" s="188"/>
      <c r="D53" s="189"/>
      <c r="E53" s="190"/>
    </row>
    <row r="54" spans="1:7" s="160" customFormat="1" ht="15.75" customHeight="1" x14ac:dyDescent="0.25">
      <c r="A54" s="166"/>
      <c r="B54" s="166"/>
      <c r="C54" s="166"/>
      <c r="D54" s="166"/>
      <c r="E54" s="166"/>
    </row>
    <row r="55" spans="1:7" s="160" customFormat="1" ht="16.5" customHeight="1" x14ac:dyDescent="0.3">
      <c r="A55" s="167" t="s">
        <v>21</v>
      </c>
      <c r="B55" s="191" t="s">
        <v>22</v>
      </c>
      <c r="C55" s="192"/>
      <c r="D55" s="192"/>
      <c r="E55" s="192"/>
    </row>
    <row r="56" spans="1:7" ht="16.5" customHeight="1" x14ac:dyDescent="0.3">
      <c r="A56" s="167"/>
      <c r="B56" s="191" t="s">
        <v>23</v>
      </c>
      <c r="C56" s="192"/>
      <c r="D56" s="192"/>
      <c r="E56" s="192"/>
    </row>
    <row r="57" spans="1:7" ht="16.5" customHeight="1" x14ac:dyDescent="0.3">
      <c r="A57" s="167"/>
      <c r="B57" s="191" t="s">
        <v>24</v>
      </c>
      <c r="C57" s="192"/>
      <c r="D57" s="192"/>
      <c r="E57" s="192"/>
    </row>
    <row r="58" spans="1:7" ht="14.25" customHeight="1" thickBot="1" x14ac:dyDescent="0.3">
      <c r="A58" s="193"/>
      <c r="B58" s="194"/>
      <c r="D58" s="195"/>
      <c r="F58" s="196"/>
      <c r="G58" s="196"/>
    </row>
    <row r="59" spans="1:7" ht="15" customHeight="1" x14ac:dyDescent="0.3">
      <c r="B59" s="446" t="s">
        <v>26</v>
      </c>
      <c r="C59" s="446"/>
      <c r="E59" s="197" t="s">
        <v>27</v>
      </c>
      <c r="F59" s="198"/>
      <c r="G59" s="197" t="s">
        <v>28</v>
      </c>
    </row>
    <row r="60" spans="1:7" ht="15" customHeight="1" x14ac:dyDescent="0.3">
      <c r="A60" s="199" t="s">
        <v>29</v>
      </c>
      <c r="B60" s="200"/>
      <c r="C60" s="200"/>
      <c r="E60" s="200"/>
      <c r="G60" s="200"/>
    </row>
    <row r="61" spans="1:7" ht="15" customHeight="1" x14ac:dyDescent="0.3">
      <c r="A61" s="199" t="s">
        <v>30</v>
      </c>
      <c r="B61" s="201"/>
      <c r="C61" s="201"/>
      <c r="E61" s="201"/>
      <c r="G61" s="2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60" zoomScale="60" zoomScaleNormal="78" workbookViewId="0">
      <selection activeCell="D73" sqref="C73:D73"/>
    </sheetView>
  </sheetViews>
  <sheetFormatPr defaultRowHeight="12.75" x14ac:dyDescent="0.2"/>
  <cols>
    <col min="1" max="1" width="55.7109375" style="57" customWidth="1"/>
    <col min="2" max="2" width="35.140625" style="57" customWidth="1"/>
    <col min="3" max="3" width="41.7109375" style="57" customWidth="1"/>
    <col min="4" max="4" width="22.85546875" style="57" customWidth="1"/>
    <col min="5" max="5" width="24.5703125" style="57" customWidth="1"/>
    <col min="6" max="6" width="25.140625" style="57" customWidth="1"/>
    <col min="7" max="7" width="34.28515625" style="57" customWidth="1"/>
    <col min="8" max="8" width="16.28515625" style="57" customWidth="1"/>
    <col min="9" max="16384" width="9.140625" style="57"/>
  </cols>
  <sheetData>
    <row r="1" spans="1:8" x14ac:dyDescent="0.2">
      <c r="A1" s="448" t="s">
        <v>49</v>
      </c>
      <c r="B1" s="448"/>
      <c r="C1" s="448"/>
      <c r="D1" s="448"/>
      <c r="E1" s="448"/>
      <c r="F1" s="448"/>
      <c r="G1" s="448"/>
      <c r="H1" s="448"/>
    </row>
    <row r="2" spans="1:8" x14ac:dyDescent="0.2">
      <c r="A2" s="448"/>
      <c r="B2" s="448"/>
      <c r="C2" s="448"/>
      <c r="D2" s="448"/>
      <c r="E2" s="448"/>
      <c r="F2" s="448"/>
      <c r="G2" s="448"/>
      <c r="H2" s="448"/>
    </row>
    <row r="3" spans="1:8" x14ac:dyDescent="0.2">
      <c r="A3" s="448"/>
      <c r="B3" s="448"/>
      <c r="C3" s="448"/>
      <c r="D3" s="448"/>
      <c r="E3" s="448"/>
      <c r="F3" s="448"/>
      <c r="G3" s="448"/>
      <c r="H3" s="448"/>
    </row>
    <row r="4" spans="1:8" x14ac:dyDescent="0.2">
      <c r="A4" s="448"/>
      <c r="B4" s="448"/>
      <c r="C4" s="448"/>
      <c r="D4" s="448"/>
      <c r="E4" s="448"/>
      <c r="F4" s="448"/>
      <c r="G4" s="448"/>
      <c r="H4" s="448"/>
    </row>
    <row r="5" spans="1:8" x14ac:dyDescent="0.2">
      <c r="A5" s="448"/>
      <c r="B5" s="448"/>
      <c r="C5" s="448"/>
      <c r="D5" s="448"/>
      <c r="E5" s="448"/>
      <c r="F5" s="448"/>
      <c r="G5" s="448"/>
      <c r="H5" s="448"/>
    </row>
    <row r="6" spans="1:8" x14ac:dyDescent="0.2">
      <c r="A6" s="448"/>
      <c r="B6" s="448"/>
      <c r="C6" s="448"/>
      <c r="D6" s="448"/>
      <c r="E6" s="448"/>
      <c r="F6" s="448"/>
      <c r="G6" s="448"/>
      <c r="H6" s="448"/>
    </row>
    <row r="7" spans="1:8" x14ac:dyDescent="0.2">
      <c r="A7" s="448"/>
      <c r="B7" s="448"/>
      <c r="C7" s="448"/>
      <c r="D7" s="448"/>
      <c r="E7" s="448"/>
      <c r="F7" s="448"/>
      <c r="G7" s="448"/>
      <c r="H7" s="448"/>
    </row>
    <row r="8" spans="1:8" x14ac:dyDescent="0.2">
      <c r="A8" s="449" t="s">
        <v>50</v>
      </c>
      <c r="B8" s="449"/>
      <c r="C8" s="449"/>
      <c r="D8" s="449"/>
      <c r="E8" s="449"/>
      <c r="F8" s="449"/>
      <c r="G8" s="449"/>
      <c r="H8" s="449"/>
    </row>
    <row r="9" spans="1:8" x14ac:dyDescent="0.2">
      <c r="A9" s="449"/>
      <c r="B9" s="449"/>
      <c r="C9" s="449"/>
      <c r="D9" s="449"/>
      <c r="E9" s="449"/>
      <c r="F9" s="449"/>
      <c r="G9" s="449"/>
      <c r="H9" s="449"/>
    </row>
    <row r="10" spans="1:8" x14ac:dyDescent="0.2">
      <c r="A10" s="449"/>
      <c r="B10" s="449"/>
      <c r="C10" s="449"/>
      <c r="D10" s="449"/>
      <c r="E10" s="449"/>
      <c r="F10" s="449"/>
      <c r="G10" s="449"/>
      <c r="H10" s="449"/>
    </row>
    <row r="11" spans="1:8" x14ac:dyDescent="0.2">
      <c r="A11" s="449"/>
      <c r="B11" s="449"/>
      <c r="C11" s="449"/>
      <c r="D11" s="449"/>
      <c r="E11" s="449"/>
      <c r="F11" s="449"/>
      <c r="G11" s="449"/>
      <c r="H11" s="449"/>
    </row>
    <row r="12" spans="1:8" x14ac:dyDescent="0.2">
      <c r="A12" s="449"/>
      <c r="B12" s="449"/>
      <c r="C12" s="449"/>
      <c r="D12" s="449"/>
      <c r="E12" s="449"/>
      <c r="F12" s="449"/>
      <c r="G12" s="449"/>
      <c r="H12" s="449"/>
    </row>
    <row r="13" spans="1:8" x14ac:dyDescent="0.2">
      <c r="A13" s="449"/>
      <c r="B13" s="449"/>
      <c r="C13" s="449"/>
      <c r="D13" s="449"/>
      <c r="E13" s="449"/>
      <c r="F13" s="449"/>
      <c r="G13" s="449"/>
      <c r="H13" s="449"/>
    </row>
    <row r="14" spans="1:8" x14ac:dyDescent="0.2">
      <c r="A14" s="449"/>
      <c r="B14" s="449"/>
      <c r="C14" s="449"/>
      <c r="D14" s="449"/>
      <c r="E14" s="449"/>
      <c r="F14" s="449"/>
      <c r="G14" s="449"/>
      <c r="H14" s="449"/>
    </row>
    <row r="15" spans="1:8" ht="19.5" customHeight="1" thickBot="1" x14ac:dyDescent="0.35">
      <c r="A15" s="58"/>
      <c r="B15" s="58"/>
      <c r="C15" s="58"/>
      <c r="D15" s="58"/>
      <c r="E15" s="58"/>
      <c r="F15" s="58"/>
      <c r="G15" s="58"/>
      <c r="H15" s="58"/>
    </row>
    <row r="16" spans="1:8" ht="19.5" customHeight="1" thickBot="1" x14ac:dyDescent="0.35">
      <c r="A16" s="450" t="s">
        <v>31</v>
      </c>
      <c r="B16" s="451"/>
      <c r="C16" s="451"/>
      <c r="D16" s="451"/>
      <c r="E16" s="451"/>
      <c r="F16" s="451"/>
      <c r="G16" s="451"/>
      <c r="H16" s="452"/>
    </row>
    <row r="17" spans="1:8" ht="18.75" customHeight="1" x14ac:dyDescent="0.3">
      <c r="A17" s="59" t="s">
        <v>51</v>
      </c>
      <c r="B17" s="59"/>
      <c r="C17" s="58"/>
      <c r="D17" s="58"/>
      <c r="E17" s="58"/>
      <c r="F17" s="58"/>
      <c r="G17" s="58"/>
      <c r="H17" s="58"/>
    </row>
    <row r="18" spans="1:8" ht="26.25" customHeight="1" x14ac:dyDescent="0.4">
      <c r="A18" s="60" t="s">
        <v>33</v>
      </c>
      <c r="B18" s="447" t="s">
        <v>112</v>
      </c>
      <c r="C18" s="447"/>
      <c r="D18" s="447"/>
      <c r="E18" s="447"/>
      <c r="F18" s="58"/>
      <c r="G18" s="58"/>
      <c r="H18" s="58"/>
    </row>
    <row r="19" spans="1:8" ht="26.25" customHeight="1" x14ac:dyDescent="0.4">
      <c r="A19" s="60" t="s">
        <v>34</v>
      </c>
      <c r="B19" s="61" t="s">
        <v>7</v>
      </c>
      <c r="C19" s="58">
        <v>8</v>
      </c>
      <c r="D19" s="58"/>
      <c r="E19" s="58"/>
      <c r="F19" s="58"/>
      <c r="G19" s="58"/>
      <c r="H19" s="58"/>
    </row>
    <row r="20" spans="1:8" ht="26.25" customHeight="1" x14ac:dyDescent="0.4">
      <c r="A20" s="60" t="s">
        <v>35</v>
      </c>
      <c r="B20" s="61" t="s">
        <v>9</v>
      </c>
      <c r="C20" s="58"/>
      <c r="D20" s="58"/>
      <c r="E20" s="58"/>
      <c r="F20" s="58"/>
      <c r="G20" s="58"/>
      <c r="H20" s="58"/>
    </row>
    <row r="21" spans="1:8" ht="26.25" customHeight="1" x14ac:dyDescent="0.4">
      <c r="A21" s="60" t="s">
        <v>36</v>
      </c>
      <c r="B21" s="453" t="s">
        <v>11</v>
      </c>
      <c r="C21" s="453"/>
      <c r="D21" s="453"/>
      <c r="E21" s="453"/>
      <c r="F21" s="453"/>
      <c r="G21" s="453"/>
      <c r="H21" s="453"/>
    </row>
    <row r="22" spans="1:8" ht="26.25" customHeight="1" x14ac:dyDescent="0.4">
      <c r="A22" s="60" t="s">
        <v>37</v>
      </c>
      <c r="B22" s="62" t="s">
        <v>113</v>
      </c>
      <c r="C22" s="58"/>
      <c r="D22" s="58"/>
      <c r="E22" s="58"/>
      <c r="F22" s="58"/>
      <c r="G22" s="58"/>
      <c r="H22" s="58"/>
    </row>
    <row r="23" spans="1:8" ht="26.25" customHeight="1" x14ac:dyDescent="0.4">
      <c r="A23" s="60" t="s">
        <v>38</v>
      </c>
      <c r="B23" s="62"/>
      <c r="C23" s="58"/>
      <c r="D23" s="58"/>
      <c r="E23" s="58"/>
      <c r="F23" s="58"/>
      <c r="G23" s="58"/>
      <c r="H23" s="58"/>
    </row>
    <row r="24" spans="1:8" ht="18.75" customHeight="1" x14ac:dyDescent="0.3">
      <c r="A24" s="60"/>
      <c r="B24" s="63"/>
      <c r="C24" s="58"/>
      <c r="D24" s="58"/>
      <c r="E24" s="58"/>
      <c r="F24" s="58"/>
      <c r="G24" s="58"/>
      <c r="H24" s="58"/>
    </row>
    <row r="25" spans="1:8" ht="18.75" customHeight="1" x14ac:dyDescent="0.3">
      <c r="A25" s="64" t="s">
        <v>1</v>
      </c>
      <c r="B25" s="63"/>
      <c r="C25" s="58"/>
      <c r="D25" s="58"/>
      <c r="E25" s="58"/>
      <c r="F25" s="58"/>
      <c r="G25" s="58"/>
      <c r="H25" s="58"/>
    </row>
    <row r="26" spans="1:8" ht="26.25" customHeight="1" x14ac:dyDescent="0.4">
      <c r="A26" s="65" t="s">
        <v>4</v>
      </c>
      <c r="B26" s="447" t="s">
        <v>114</v>
      </c>
      <c r="C26" s="447"/>
      <c r="D26" s="58"/>
      <c r="E26" s="58"/>
      <c r="F26" s="58"/>
      <c r="G26" s="58"/>
      <c r="H26" s="58"/>
    </row>
    <row r="27" spans="1:8" ht="26.25" customHeight="1" x14ac:dyDescent="0.4">
      <c r="A27" s="66" t="s">
        <v>52</v>
      </c>
      <c r="B27" s="453" t="s">
        <v>115</v>
      </c>
      <c r="C27" s="453"/>
      <c r="D27" s="58"/>
      <c r="E27" s="58"/>
      <c r="F27" s="58"/>
      <c r="G27" s="58"/>
      <c r="H27" s="58"/>
    </row>
    <row r="28" spans="1:8" ht="27" customHeight="1" thickBot="1" x14ac:dyDescent="0.45">
      <c r="A28" s="66" t="s">
        <v>6</v>
      </c>
      <c r="B28" s="67">
        <v>99.8</v>
      </c>
      <c r="C28" s="58"/>
      <c r="D28" s="58"/>
      <c r="E28" s="58"/>
      <c r="F28" s="58"/>
      <c r="G28" s="58"/>
      <c r="H28" s="58"/>
    </row>
    <row r="29" spans="1:8" ht="27" customHeight="1" thickBot="1" x14ac:dyDescent="0.45">
      <c r="A29" s="66" t="s">
        <v>53</v>
      </c>
      <c r="B29" s="68">
        <v>0</v>
      </c>
      <c r="C29" s="454" t="s">
        <v>54</v>
      </c>
      <c r="D29" s="455"/>
      <c r="E29" s="455"/>
      <c r="F29" s="455"/>
      <c r="G29" s="455"/>
      <c r="H29" s="456"/>
    </row>
    <row r="30" spans="1:8" ht="19.5" customHeight="1" thickBot="1" x14ac:dyDescent="0.35">
      <c r="A30" s="66" t="s">
        <v>55</v>
      </c>
      <c r="B30" s="69">
        <f>B28-B29</f>
        <v>99.8</v>
      </c>
      <c r="C30" s="70"/>
      <c r="D30" s="70"/>
      <c r="E30" s="70"/>
      <c r="F30" s="70"/>
      <c r="G30" s="70"/>
      <c r="H30" s="71"/>
    </row>
    <row r="31" spans="1:8" ht="27" customHeight="1" thickBot="1" x14ac:dyDescent="0.45">
      <c r="A31" s="66" t="s">
        <v>56</v>
      </c>
      <c r="B31" s="72">
        <v>1</v>
      </c>
      <c r="C31" s="457" t="s">
        <v>57</v>
      </c>
      <c r="D31" s="458"/>
      <c r="E31" s="458"/>
      <c r="F31" s="458"/>
      <c r="G31" s="458"/>
      <c r="H31" s="459"/>
    </row>
    <row r="32" spans="1:8" ht="27" customHeight="1" thickBot="1" x14ac:dyDescent="0.45">
      <c r="A32" s="66" t="s">
        <v>58</v>
      </c>
      <c r="B32" s="72">
        <v>1</v>
      </c>
      <c r="C32" s="457" t="s">
        <v>59</v>
      </c>
      <c r="D32" s="458"/>
      <c r="E32" s="458"/>
      <c r="F32" s="458"/>
      <c r="G32" s="458"/>
      <c r="H32" s="459"/>
    </row>
    <row r="33" spans="1:8" ht="18.75" customHeight="1" x14ac:dyDescent="0.3">
      <c r="A33" s="66"/>
      <c r="B33" s="73"/>
      <c r="C33" s="74"/>
      <c r="D33" s="74"/>
      <c r="E33" s="74"/>
      <c r="F33" s="74"/>
      <c r="G33" s="74"/>
      <c r="H33" s="74"/>
    </row>
    <row r="34" spans="1:8" ht="18.75" customHeight="1" x14ac:dyDescent="0.3">
      <c r="A34" s="66" t="s">
        <v>60</v>
      </c>
      <c r="B34" s="75">
        <f>B31/B32</f>
        <v>1</v>
      </c>
      <c r="C34" s="58" t="s">
        <v>61</v>
      </c>
      <c r="D34" s="58"/>
      <c r="E34" s="58"/>
      <c r="F34" s="58"/>
      <c r="G34" s="58"/>
      <c r="H34" s="76"/>
    </row>
    <row r="35" spans="1:8" ht="19.5" customHeight="1" thickBot="1" x14ac:dyDescent="0.35">
      <c r="A35" s="66"/>
      <c r="B35" s="69"/>
      <c r="C35" s="76"/>
      <c r="D35" s="76"/>
      <c r="E35" s="76"/>
      <c r="F35" s="76"/>
      <c r="G35" s="58"/>
      <c r="H35" s="76"/>
    </row>
    <row r="36" spans="1:8" ht="27" customHeight="1" thickBot="1" x14ac:dyDescent="0.45">
      <c r="A36" s="77" t="s">
        <v>62</v>
      </c>
      <c r="B36" s="78">
        <v>10</v>
      </c>
      <c r="C36" s="58"/>
      <c r="D36" s="460" t="s">
        <v>63</v>
      </c>
      <c r="E36" s="461"/>
      <c r="F36" s="460" t="s">
        <v>64</v>
      </c>
      <c r="G36" s="462"/>
      <c r="H36" s="76"/>
    </row>
    <row r="37" spans="1:8" ht="26.25" customHeight="1" x14ac:dyDescent="0.4">
      <c r="A37" s="79" t="s">
        <v>65</v>
      </c>
      <c r="B37" s="80">
        <v>1</v>
      </c>
      <c r="C37" s="81" t="s">
        <v>66</v>
      </c>
      <c r="D37" s="82" t="s">
        <v>67</v>
      </c>
      <c r="E37" s="83" t="s">
        <v>68</v>
      </c>
      <c r="F37" s="82" t="s">
        <v>67</v>
      </c>
      <c r="G37" s="84" t="s">
        <v>68</v>
      </c>
      <c r="H37" s="76"/>
    </row>
    <row r="38" spans="1:8" ht="26.25" customHeight="1" x14ac:dyDescent="0.4">
      <c r="A38" s="79" t="s">
        <v>69</v>
      </c>
      <c r="B38" s="80">
        <v>1</v>
      </c>
      <c r="C38" s="85">
        <v>1</v>
      </c>
      <c r="D38" s="86">
        <v>12406150</v>
      </c>
      <c r="E38" s="87">
        <f>IF(ISBLANK(D38),"-",$D$48/$D$45*D38)</f>
        <v>11688774.822800279</v>
      </c>
      <c r="F38" s="86">
        <v>11576512</v>
      </c>
      <c r="G38" s="88">
        <f>IF(ISBLANK(F38),"-",$D$48/$F$45*F38)</f>
        <v>11755471.419149423</v>
      </c>
      <c r="H38" s="76"/>
    </row>
    <row r="39" spans="1:8" ht="26.25" customHeight="1" x14ac:dyDescent="0.4">
      <c r="A39" s="79" t="s">
        <v>70</v>
      </c>
      <c r="B39" s="80">
        <v>1</v>
      </c>
      <c r="C39" s="89">
        <v>2</v>
      </c>
      <c r="D39" s="90">
        <v>12350314</v>
      </c>
      <c r="E39" s="91">
        <f>IF(ISBLANK(D39),"-",$D$48/$D$45*D39)</f>
        <v>11636167.492483791</v>
      </c>
      <c r="F39" s="90">
        <v>11570526</v>
      </c>
      <c r="G39" s="92">
        <f>IF(ISBLANK(F39),"-",$D$48/$F$45*F39)</f>
        <v>11749392.882547464</v>
      </c>
      <c r="H39" s="76"/>
    </row>
    <row r="40" spans="1:8" ht="26.25" customHeight="1" x14ac:dyDescent="0.4">
      <c r="A40" s="79" t="s">
        <v>71</v>
      </c>
      <c r="B40" s="80">
        <v>1</v>
      </c>
      <c r="C40" s="89">
        <v>3</v>
      </c>
      <c r="D40" s="90">
        <v>12369866</v>
      </c>
      <c r="E40" s="91">
        <f>IF(ISBLANK(D40),"-",$D$48/$D$45*D40)</f>
        <v>11654588.914547477</v>
      </c>
      <c r="F40" s="90">
        <v>11569382</v>
      </c>
      <c r="G40" s="92">
        <f>IF(ISBLANK(F40),"-",$D$48/$F$45*F40)</f>
        <v>11748231.197637232</v>
      </c>
      <c r="H40" s="58"/>
    </row>
    <row r="41" spans="1:8" ht="26.25" customHeight="1" x14ac:dyDescent="0.4">
      <c r="A41" s="79" t="s">
        <v>72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H41" s="58"/>
    </row>
    <row r="42" spans="1:8" ht="27" customHeight="1" thickBot="1" x14ac:dyDescent="0.45">
      <c r="A42" s="79" t="s">
        <v>73</v>
      </c>
      <c r="B42" s="80">
        <v>1</v>
      </c>
      <c r="C42" s="97" t="s">
        <v>74</v>
      </c>
      <c r="D42" s="98">
        <f>AVERAGE(D38:D41)</f>
        <v>12375443.333333334</v>
      </c>
      <c r="E42" s="99">
        <f>AVERAGE(E38:E41)</f>
        <v>11659843.743277183</v>
      </c>
      <c r="F42" s="98">
        <f>AVERAGE(F38:F41)</f>
        <v>11572140</v>
      </c>
      <c r="G42" s="100">
        <f>AVERAGE(G38:G41)</f>
        <v>11751031.833111374</v>
      </c>
      <c r="H42" s="101"/>
    </row>
    <row r="43" spans="1:8" ht="26.25" customHeight="1" x14ac:dyDescent="0.4">
      <c r="A43" s="79" t="s">
        <v>75</v>
      </c>
      <c r="B43" s="80">
        <v>1</v>
      </c>
      <c r="C43" s="102" t="s">
        <v>76</v>
      </c>
      <c r="D43" s="103">
        <v>42.54</v>
      </c>
      <c r="E43" s="58"/>
      <c r="F43" s="103">
        <v>39.47</v>
      </c>
      <c r="G43" s="58"/>
      <c r="H43" s="101"/>
    </row>
    <row r="44" spans="1:8" ht="26.25" customHeight="1" x14ac:dyDescent="0.4">
      <c r="A44" s="79" t="s">
        <v>77</v>
      </c>
      <c r="B44" s="80">
        <v>1</v>
      </c>
      <c r="C44" s="104" t="s">
        <v>78</v>
      </c>
      <c r="D44" s="105">
        <f>D43*$B$34</f>
        <v>42.54</v>
      </c>
      <c r="E44" s="106"/>
      <c r="F44" s="105">
        <f>F43*$B$34</f>
        <v>39.47</v>
      </c>
      <c r="G44" s="58"/>
      <c r="H44" s="101"/>
    </row>
    <row r="45" spans="1:8" ht="19.5" customHeight="1" thickBot="1" x14ac:dyDescent="0.35">
      <c r="A45" s="79" t="s">
        <v>79</v>
      </c>
      <c r="B45" s="89">
        <f>(B44/B43)*(B42/B41)*(B40/B39)*(B38/B37)*B36</f>
        <v>10</v>
      </c>
      <c r="C45" s="104" t="s">
        <v>80</v>
      </c>
      <c r="D45" s="107">
        <f>D44*$B$30/100</f>
        <v>42.454920000000001</v>
      </c>
      <c r="E45" s="108"/>
      <c r="F45" s="107">
        <f>F44*$B$30/100</f>
        <v>39.391059999999996</v>
      </c>
      <c r="G45" s="58"/>
      <c r="H45" s="101"/>
    </row>
    <row r="46" spans="1:8" ht="19.5" customHeight="1" thickBot="1" x14ac:dyDescent="0.35">
      <c r="A46" s="465" t="s">
        <v>81</v>
      </c>
      <c r="B46" s="466"/>
      <c r="C46" s="104" t="s">
        <v>82</v>
      </c>
      <c r="D46" s="105">
        <f>D45/$B$45</f>
        <v>4.2454920000000005</v>
      </c>
      <c r="E46" s="108"/>
      <c r="F46" s="109">
        <f>F45/$B$45</f>
        <v>3.9391059999999998</v>
      </c>
      <c r="G46" s="58"/>
      <c r="H46" s="101"/>
    </row>
    <row r="47" spans="1:8" ht="27" customHeight="1" thickBot="1" x14ac:dyDescent="0.45">
      <c r="A47" s="467"/>
      <c r="B47" s="468"/>
      <c r="C47" s="110" t="s">
        <v>83</v>
      </c>
      <c r="D47" s="111">
        <v>4</v>
      </c>
      <c r="E47" s="58"/>
      <c r="F47" s="112"/>
      <c r="G47" s="58"/>
      <c r="H47" s="101"/>
    </row>
    <row r="48" spans="1:8" ht="18.75" customHeight="1" x14ac:dyDescent="0.3">
      <c r="A48" s="58"/>
      <c r="B48" s="58"/>
      <c r="C48" s="113" t="s">
        <v>84</v>
      </c>
      <c r="D48" s="105">
        <f>D47*$B$45</f>
        <v>40</v>
      </c>
      <c r="E48" s="58"/>
      <c r="F48" s="112"/>
      <c r="G48" s="58"/>
      <c r="H48" s="101"/>
    </row>
    <row r="49" spans="1:8" ht="19.5" customHeight="1" thickBot="1" x14ac:dyDescent="0.35">
      <c r="A49" s="58"/>
      <c r="B49" s="58"/>
      <c r="C49" s="66" t="s">
        <v>85</v>
      </c>
      <c r="D49" s="114">
        <f>D48/B34</f>
        <v>40</v>
      </c>
      <c r="E49" s="58"/>
      <c r="F49" s="112"/>
      <c r="G49" s="58"/>
      <c r="H49" s="101"/>
    </row>
    <row r="50" spans="1:8" ht="18.75" customHeight="1" x14ac:dyDescent="0.3">
      <c r="A50" s="58"/>
      <c r="B50" s="58"/>
      <c r="C50" s="77" t="s">
        <v>86</v>
      </c>
      <c r="D50" s="115">
        <f>AVERAGE(E38:E41,G38:G41)</f>
        <v>11705437.788194276</v>
      </c>
      <c r="E50" s="58"/>
      <c r="F50" s="116"/>
      <c r="G50" s="58"/>
      <c r="H50" s="101"/>
    </row>
    <row r="51" spans="1:8" ht="18.75" customHeight="1" x14ac:dyDescent="0.3">
      <c r="A51" s="58"/>
      <c r="B51" s="58"/>
      <c r="C51" s="110" t="s">
        <v>87</v>
      </c>
      <c r="D51" s="117">
        <f>STDEV(E38:E41,G38:G41)/D50</f>
        <v>4.5089644244277229E-3</v>
      </c>
      <c r="E51" s="58"/>
      <c r="F51" s="116"/>
      <c r="G51" s="58"/>
      <c r="H51" s="101"/>
    </row>
    <row r="52" spans="1:8" ht="19.5" customHeight="1" thickBot="1" x14ac:dyDescent="0.35">
      <c r="A52" s="58"/>
      <c r="B52" s="58"/>
      <c r="C52" s="118" t="s">
        <v>20</v>
      </c>
      <c r="D52" s="119">
        <f>COUNT(E38:E41,G38:G41)</f>
        <v>6</v>
      </c>
      <c r="E52" s="58"/>
      <c r="F52" s="116"/>
      <c r="G52" s="58"/>
      <c r="H52" s="58"/>
    </row>
    <row r="53" spans="1:8" ht="18.75" customHeight="1" x14ac:dyDescent="0.3">
      <c r="A53" s="58"/>
      <c r="B53" s="58"/>
      <c r="C53" s="58"/>
      <c r="D53" s="58"/>
      <c r="E53" s="58"/>
      <c r="F53" s="58"/>
      <c r="G53" s="58"/>
      <c r="H53" s="58"/>
    </row>
    <row r="54" spans="1:8" ht="18.75" customHeight="1" x14ac:dyDescent="0.3">
      <c r="A54" s="59" t="s">
        <v>1</v>
      </c>
      <c r="B54" s="120" t="s">
        <v>88</v>
      </c>
      <c r="C54" s="58"/>
      <c r="D54" s="58"/>
      <c r="E54" s="58"/>
      <c r="F54" s="58"/>
      <c r="G54" s="58"/>
      <c r="H54" s="58"/>
    </row>
    <row r="55" spans="1:8" ht="18.75" customHeight="1" x14ac:dyDescent="0.3">
      <c r="A55" s="58" t="s">
        <v>89</v>
      </c>
      <c r="B55" s="121" t="str">
        <f>B21</f>
        <v>Each box contains 1 vial of Artesunate 60 mg for injection, 1 ampoule of sodium bicarbonate 50 mg/mL injection and 1 ampoule of sodium chloride 9 mg/mL injection.</v>
      </c>
      <c r="C55" s="58"/>
      <c r="D55" s="58"/>
      <c r="E55" s="58"/>
      <c r="F55" s="58"/>
      <c r="G55" s="58"/>
      <c r="H55" s="58"/>
    </row>
    <row r="56" spans="1:8" ht="26.25" customHeight="1" x14ac:dyDescent="0.4">
      <c r="A56" s="121" t="s">
        <v>90</v>
      </c>
      <c r="B56" s="122">
        <v>60</v>
      </c>
      <c r="C56" s="58" t="str">
        <f>B20</f>
        <v>Artesunate 60 mg</v>
      </c>
      <c r="D56" s="58"/>
      <c r="E56" s="58"/>
      <c r="F56" s="58"/>
      <c r="G56" s="58"/>
      <c r="H56" s="106"/>
    </row>
    <row r="57" spans="1:8" ht="18.75" customHeight="1" x14ac:dyDescent="0.3">
      <c r="A57" s="121" t="s">
        <v>91</v>
      </c>
      <c r="B57" s="123">
        <f>Uniformity!D33</f>
        <v>59.053000000000068</v>
      </c>
      <c r="C57" s="58"/>
      <c r="D57" s="58"/>
      <c r="E57" s="58"/>
      <c r="F57" s="58"/>
      <c r="G57" s="58"/>
      <c r="H57" s="106"/>
    </row>
    <row r="58" spans="1:8" ht="19.5" customHeight="1" thickBot="1" x14ac:dyDescent="0.35">
      <c r="A58" s="58"/>
      <c r="B58" s="58"/>
      <c r="C58" s="58"/>
      <c r="D58" s="58"/>
      <c r="E58" s="58"/>
      <c r="F58" s="58"/>
      <c r="G58" s="58"/>
      <c r="H58" s="106"/>
    </row>
    <row r="59" spans="1:8" ht="27" customHeight="1" thickBot="1" x14ac:dyDescent="0.45">
      <c r="A59" s="77" t="s">
        <v>92</v>
      </c>
      <c r="B59" s="78">
        <v>10</v>
      </c>
      <c r="C59" s="58"/>
      <c r="D59" s="124" t="s">
        <v>93</v>
      </c>
      <c r="E59" s="125" t="s">
        <v>66</v>
      </c>
      <c r="F59" s="125" t="s">
        <v>67</v>
      </c>
      <c r="G59" s="125" t="s">
        <v>94</v>
      </c>
      <c r="H59" s="81" t="s">
        <v>95</v>
      </c>
    </row>
    <row r="60" spans="1:8" ht="26.25" customHeight="1" x14ac:dyDescent="0.4">
      <c r="A60" s="79" t="s">
        <v>96</v>
      </c>
      <c r="B60" s="80">
        <v>1</v>
      </c>
      <c r="C60" s="469" t="s">
        <v>97</v>
      </c>
      <c r="D60" s="472">
        <v>40.619999999999997</v>
      </c>
      <c r="E60" s="126">
        <v>1</v>
      </c>
      <c r="F60" s="127">
        <v>11877449</v>
      </c>
      <c r="G60" s="128">
        <f>IF(ISBLANK(F60),"-",(F60/$D$50*$D$47*$B$68)*($B$57/$D$60))</f>
        <v>59.006186946050875</v>
      </c>
      <c r="H60" s="129">
        <f t="shared" ref="H60:H71" si="0">IF(ISBLANK(F60),"-",G60/$B$56)</f>
        <v>0.98343644910084793</v>
      </c>
    </row>
    <row r="61" spans="1:8" ht="26.25" customHeight="1" x14ac:dyDescent="0.4">
      <c r="A61" s="79" t="s">
        <v>98</v>
      </c>
      <c r="B61" s="80">
        <v>1</v>
      </c>
      <c r="C61" s="470"/>
      <c r="D61" s="473"/>
      <c r="E61" s="130">
        <v>2</v>
      </c>
      <c r="F61" s="90">
        <v>11884502</v>
      </c>
      <c r="G61" s="131">
        <f>IF(ISBLANK(F61),"-",(F61/$D$50*$D$47*$B$68)*($B$57/$D$60))</f>
        <v>59.041225668299262</v>
      </c>
      <c r="H61" s="132">
        <f t="shared" si="0"/>
        <v>0.98402042780498766</v>
      </c>
    </row>
    <row r="62" spans="1:8" ht="26.25" customHeight="1" x14ac:dyDescent="0.4">
      <c r="A62" s="79" t="s">
        <v>99</v>
      </c>
      <c r="B62" s="80">
        <v>1</v>
      </c>
      <c r="C62" s="470"/>
      <c r="D62" s="473"/>
      <c r="E62" s="130">
        <v>3</v>
      </c>
      <c r="F62" s="90">
        <v>11839199</v>
      </c>
      <c r="G62" s="131">
        <f>IF(ISBLANK(F62),"-",(F62/$D$50*$D$47*$B$68)*($B$57/$D$60))</f>
        <v>58.81616410102022</v>
      </c>
      <c r="H62" s="132">
        <f t="shared" si="0"/>
        <v>0.98026940168367038</v>
      </c>
    </row>
    <row r="63" spans="1:8" ht="27" customHeight="1" thickBot="1" x14ac:dyDescent="0.45">
      <c r="A63" s="79" t="s">
        <v>100</v>
      </c>
      <c r="B63" s="80">
        <v>1</v>
      </c>
      <c r="C63" s="471"/>
      <c r="D63" s="474"/>
      <c r="E63" s="133">
        <v>4</v>
      </c>
      <c r="F63" s="134"/>
      <c r="G63" s="131" t="str">
        <f>IF(ISBLANK(F63),"-",(F63/$D$50*$D$47*$B$68)*($B$57/$D$60))</f>
        <v>-</v>
      </c>
      <c r="H63" s="132" t="str">
        <f t="shared" si="0"/>
        <v>-</v>
      </c>
    </row>
    <row r="64" spans="1:8" ht="26.25" customHeight="1" x14ac:dyDescent="0.4">
      <c r="A64" s="79" t="s">
        <v>101</v>
      </c>
      <c r="B64" s="80">
        <v>1</v>
      </c>
      <c r="C64" s="469" t="s">
        <v>102</v>
      </c>
      <c r="D64" s="472">
        <v>38</v>
      </c>
      <c r="E64" s="126">
        <v>1</v>
      </c>
      <c r="F64" s="127">
        <v>11193646</v>
      </c>
      <c r="G64" s="135">
        <f>IF(ISBLANK(F64),"-",(F64/$D$50*$D$47*$B$68)*($B$57/$D$64))</f>
        <v>59.443211841853035</v>
      </c>
      <c r="H64" s="136">
        <f t="shared" si="0"/>
        <v>0.99072019736421724</v>
      </c>
    </row>
    <row r="65" spans="1:8" ht="26.25" customHeight="1" x14ac:dyDescent="0.4">
      <c r="A65" s="79" t="s">
        <v>103</v>
      </c>
      <c r="B65" s="80">
        <v>1</v>
      </c>
      <c r="C65" s="470"/>
      <c r="D65" s="473"/>
      <c r="E65" s="130">
        <v>2</v>
      </c>
      <c r="F65" s="90">
        <v>11062164</v>
      </c>
      <c r="G65" s="137">
        <f>IF(ISBLANK(F65),"-",(F65/$D$50*$D$47*$B$68)*($B$57/$D$64))</f>
        <v>58.744984259938207</v>
      </c>
      <c r="H65" s="138">
        <f t="shared" si="0"/>
        <v>0.97908307099897007</v>
      </c>
    </row>
    <row r="66" spans="1:8" ht="26.25" customHeight="1" x14ac:dyDescent="0.4">
      <c r="A66" s="79" t="s">
        <v>104</v>
      </c>
      <c r="B66" s="80">
        <v>1</v>
      </c>
      <c r="C66" s="470"/>
      <c r="D66" s="473"/>
      <c r="E66" s="130">
        <v>3</v>
      </c>
      <c r="F66" s="90">
        <v>11178944</v>
      </c>
      <c r="G66" s="137">
        <f>IF(ISBLANK(F66),"-",(F66/$D$50*$D$47*$B$68)*($B$57/$D$64))</f>
        <v>59.36513771832805</v>
      </c>
      <c r="H66" s="138">
        <f t="shared" si="0"/>
        <v>0.98941896197213419</v>
      </c>
    </row>
    <row r="67" spans="1:8" ht="27" customHeight="1" thickBot="1" x14ac:dyDescent="0.45">
      <c r="A67" s="79" t="s">
        <v>105</v>
      </c>
      <c r="B67" s="80">
        <v>1</v>
      </c>
      <c r="C67" s="471"/>
      <c r="D67" s="474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9" t="s">
        <v>106</v>
      </c>
      <c r="B68" s="89">
        <f>(B67/B66)*(B65/B64)*(B63/B62)*(B61/B60)*B59</f>
        <v>10</v>
      </c>
      <c r="C68" s="469" t="s">
        <v>107</v>
      </c>
      <c r="D68" s="472">
        <v>39.99</v>
      </c>
      <c r="E68" s="126">
        <v>1</v>
      </c>
      <c r="F68" s="127">
        <v>11892197</v>
      </c>
      <c r="G68" s="135">
        <f>IF(ISBLANK(F68),"-",(F68/$D$50*$D$47*$B$68)*($B$57/$D$68))</f>
        <v>60.010187874362948</v>
      </c>
      <c r="H68" s="132">
        <f t="shared" si="0"/>
        <v>1.0001697979060491</v>
      </c>
    </row>
    <row r="69" spans="1:8" ht="27" customHeight="1" thickBot="1" x14ac:dyDescent="0.45">
      <c r="A69" s="118" t="s">
        <v>108</v>
      </c>
      <c r="B69" s="141">
        <f>(D47*B68)/B56*B57</f>
        <v>39.368666666666712</v>
      </c>
      <c r="C69" s="470"/>
      <c r="D69" s="473"/>
      <c r="E69" s="130">
        <v>2</v>
      </c>
      <c r="F69" s="90">
        <v>11991554</v>
      </c>
      <c r="G69" s="137">
        <f>IF(ISBLANK(F69),"-",(F69/$D$50*$D$47*$B$68)*($B$57/$D$68))</f>
        <v>60.511561357886066</v>
      </c>
      <c r="H69" s="132">
        <f t="shared" si="0"/>
        <v>1.0085260226314345</v>
      </c>
    </row>
    <row r="70" spans="1:8" ht="26.25" customHeight="1" x14ac:dyDescent="0.4">
      <c r="A70" s="465" t="s">
        <v>81</v>
      </c>
      <c r="B70" s="466"/>
      <c r="C70" s="470"/>
      <c r="D70" s="473"/>
      <c r="E70" s="130">
        <v>3</v>
      </c>
      <c r="F70" s="90">
        <v>11855576</v>
      </c>
      <c r="G70" s="137">
        <f>IF(ISBLANK(F70),"-",(F70/$D$50*$D$47*$B$68)*($B$57/$D$68))</f>
        <v>59.825391651247315</v>
      </c>
      <c r="H70" s="132">
        <f t="shared" si="0"/>
        <v>0.99708986085412188</v>
      </c>
    </row>
    <row r="71" spans="1:8" ht="27" customHeight="1" thickBot="1" x14ac:dyDescent="0.45">
      <c r="A71" s="467"/>
      <c r="B71" s="468"/>
      <c r="C71" s="475"/>
      <c r="D71" s="474"/>
      <c r="E71" s="133">
        <v>4</v>
      </c>
      <c r="F71" s="134"/>
      <c r="G71" s="139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3" t="s">
        <v>74</v>
      </c>
      <c r="H72" s="144">
        <f>AVERAGE(H60:H71)</f>
        <v>0.99030379892404818</v>
      </c>
    </row>
    <row r="73" spans="1:8" ht="26.25" customHeight="1" x14ac:dyDescent="0.4">
      <c r="A73" s="58"/>
      <c r="B73" s="58"/>
      <c r="C73" s="106"/>
      <c r="D73" s="106"/>
      <c r="E73" s="106"/>
      <c r="F73" s="106"/>
      <c r="G73" s="145" t="s">
        <v>87</v>
      </c>
      <c r="H73" s="146">
        <f>STDEV(H60:H71)/H72</f>
        <v>1.003224727565892E-2</v>
      </c>
    </row>
    <row r="74" spans="1:8" ht="27" customHeight="1" thickBot="1" x14ac:dyDescent="0.45">
      <c r="A74" s="106"/>
      <c r="B74" s="106"/>
      <c r="C74" s="106"/>
      <c r="D74" s="106"/>
      <c r="E74" s="108"/>
      <c r="F74" s="106"/>
      <c r="G74" s="147" t="s">
        <v>20</v>
      </c>
      <c r="H74" s="148">
        <f>COUNT(H60:H71)</f>
        <v>9</v>
      </c>
    </row>
    <row r="75" spans="1:8" ht="18.75" customHeight="1" x14ac:dyDescent="0.3">
      <c r="A75" s="106"/>
      <c r="B75" s="106"/>
      <c r="C75" s="106"/>
      <c r="D75" s="106"/>
      <c r="E75" s="108"/>
      <c r="F75" s="106"/>
      <c r="G75" s="66"/>
      <c r="H75" s="69"/>
    </row>
    <row r="76" spans="1:8" ht="26.25" customHeight="1" x14ac:dyDescent="0.4">
      <c r="A76" s="65" t="s">
        <v>109</v>
      </c>
      <c r="B76" s="66" t="s">
        <v>110</v>
      </c>
      <c r="C76" s="463" t="str">
        <f>B20</f>
        <v>Artesunate 60 mg</v>
      </c>
      <c r="D76" s="463"/>
      <c r="E76" s="58" t="s">
        <v>111</v>
      </c>
      <c r="F76" s="58"/>
      <c r="G76" s="149">
        <f>H72</f>
        <v>0.99030379892404818</v>
      </c>
      <c r="H76" s="69"/>
    </row>
    <row r="77" spans="1:8" ht="19.5" customHeight="1" thickBot="1" x14ac:dyDescent="0.35">
      <c r="A77" s="150"/>
      <c r="B77" s="150"/>
      <c r="C77" s="151"/>
      <c r="D77" s="151"/>
      <c r="E77" s="151"/>
      <c r="F77" s="151"/>
      <c r="G77" s="151"/>
      <c r="H77" s="151"/>
    </row>
    <row r="78" spans="1:8" ht="18.75" customHeight="1" x14ac:dyDescent="0.3">
      <c r="A78" s="58"/>
      <c r="B78" s="464" t="s">
        <v>26</v>
      </c>
      <c r="C78" s="464"/>
      <c r="D78" s="58"/>
      <c r="E78" s="152" t="s">
        <v>27</v>
      </c>
      <c r="F78" s="153"/>
      <c r="G78" s="464" t="s">
        <v>28</v>
      </c>
      <c r="H78" s="464"/>
    </row>
    <row r="79" spans="1:8" ht="60" customHeight="1" x14ac:dyDescent="0.3">
      <c r="A79" s="65" t="s">
        <v>29</v>
      </c>
      <c r="B79" s="154"/>
      <c r="C79" s="154"/>
      <c r="D79" s="58"/>
      <c r="E79" s="155"/>
      <c r="F79" s="58"/>
      <c r="G79" s="155"/>
      <c r="H79" s="155"/>
    </row>
    <row r="80" spans="1:8" ht="60" customHeight="1" x14ac:dyDescent="0.3">
      <c r="A80" s="65" t="s">
        <v>30</v>
      </c>
      <c r="B80" s="156"/>
      <c r="C80" s="156"/>
      <c r="D80" s="58"/>
      <c r="E80" s="157"/>
      <c r="F80" s="58"/>
      <c r="G80" s="158"/>
      <c r="H80" s="158"/>
    </row>
    <row r="250" spans="1:1" x14ac:dyDescent="0.2">
      <c r="A250" s="57">
        <v>5</v>
      </c>
    </row>
  </sheetData>
  <sheetProtection password="F258" sheet="1" objects="1" scenarios="1" formatCells="0" formatColumn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25" priority="1" operator="greaterThan">
      <formula>0.02</formula>
    </cfRule>
  </conditionalFormatting>
  <conditionalFormatting sqref="H73">
    <cfRule type="cellIs" dxfId="2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2"/>
  <sheetViews>
    <sheetView topLeftCell="A26" workbookViewId="0">
      <selection activeCell="B32" sqref="B32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10"/>
      <c r="B1" s="11"/>
      <c r="C1" s="10"/>
      <c r="D1" s="12"/>
      <c r="E1" s="13"/>
      <c r="F1" s="11"/>
      <c r="G1" s="13"/>
      <c r="H1" s="5"/>
      <c r="I1" s="6"/>
      <c r="J1" s="5"/>
      <c r="K1" s="8"/>
      <c r="L1" s="5"/>
      <c r="M1" s="6"/>
      <c r="N1" s="5"/>
      <c r="O1" s="6"/>
    </row>
    <row r="2" spans="1:15" ht="15" x14ac:dyDescent="0.3">
      <c r="A2" s="10"/>
      <c r="B2" s="11"/>
      <c r="C2" s="10"/>
      <c r="D2" s="12"/>
      <c r="E2" s="14"/>
      <c r="F2" s="11"/>
      <c r="G2" s="14"/>
      <c r="H2" s="7"/>
      <c r="I2" s="6"/>
      <c r="J2" s="7"/>
      <c r="K2" s="8"/>
      <c r="L2" s="7"/>
      <c r="M2" s="8"/>
      <c r="N2" s="7"/>
      <c r="O2" s="8"/>
    </row>
    <row r="3" spans="1:15" ht="15" x14ac:dyDescent="0.3">
      <c r="A3" s="10"/>
      <c r="B3" s="11"/>
      <c r="C3" s="10"/>
      <c r="D3" s="12"/>
      <c r="E3" s="14"/>
      <c r="F3" s="11"/>
      <c r="G3" s="14"/>
      <c r="H3" s="7"/>
      <c r="I3" s="6"/>
      <c r="J3" s="7"/>
      <c r="K3" s="8"/>
      <c r="L3" s="7"/>
      <c r="M3" s="8"/>
      <c r="N3" s="7"/>
      <c r="O3" s="8"/>
    </row>
    <row r="4" spans="1:15" ht="15" x14ac:dyDescent="0.3">
      <c r="A4" s="10"/>
      <c r="B4" s="11"/>
      <c r="C4" s="10"/>
      <c r="D4" s="12"/>
      <c r="E4" s="14"/>
      <c r="F4" s="11"/>
      <c r="G4" s="14"/>
      <c r="H4" s="7"/>
      <c r="I4" s="6"/>
      <c r="J4" s="7"/>
      <c r="K4" s="8"/>
      <c r="L4" s="7"/>
      <c r="M4" s="8"/>
      <c r="N4" s="7"/>
      <c r="O4" s="8"/>
    </row>
    <row r="5" spans="1:15" ht="15" x14ac:dyDescent="0.3">
      <c r="A5" s="10"/>
      <c r="B5" s="11"/>
      <c r="C5" s="10"/>
      <c r="D5" s="12"/>
      <c r="E5" s="14"/>
      <c r="F5" s="11"/>
      <c r="G5" s="14"/>
      <c r="H5" s="7"/>
      <c r="I5" s="6"/>
      <c r="J5" s="7"/>
      <c r="K5" s="8"/>
      <c r="L5" s="7"/>
      <c r="M5" s="8"/>
      <c r="N5" s="7"/>
      <c r="O5" s="8"/>
    </row>
    <row r="6" spans="1:15" ht="15" x14ac:dyDescent="0.3">
      <c r="A6" s="10"/>
      <c r="B6" s="11"/>
      <c r="C6" s="10"/>
      <c r="D6" s="12"/>
      <c r="E6" s="14"/>
      <c r="F6" s="11"/>
      <c r="G6" s="14"/>
      <c r="H6" s="7"/>
      <c r="I6" s="6"/>
      <c r="J6" s="7"/>
      <c r="K6" s="8"/>
      <c r="L6" s="7"/>
      <c r="M6" s="8"/>
      <c r="N6" s="7"/>
      <c r="O6" s="8"/>
    </row>
    <row r="7" spans="1:15" ht="15" x14ac:dyDescent="0.3">
      <c r="A7" s="10"/>
      <c r="B7" s="11"/>
      <c r="C7" s="10"/>
      <c r="D7" s="12"/>
      <c r="E7" s="14"/>
      <c r="F7" s="11"/>
      <c r="G7" s="14"/>
      <c r="H7" s="7"/>
      <c r="I7" s="6"/>
      <c r="J7" s="7"/>
      <c r="K7" s="8"/>
      <c r="L7" s="7"/>
      <c r="M7" s="8"/>
      <c r="N7" s="7"/>
      <c r="O7" s="8"/>
    </row>
    <row r="8" spans="1:15" ht="19.5" customHeight="1" x14ac:dyDescent="0.3">
      <c r="A8" s="478" t="s">
        <v>31</v>
      </c>
      <c r="B8" s="478"/>
      <c r="C8" s="478"/>
      <c r="D8" s="478"/>
      <c r="E8" s="478"/>
      <c r="F8" s="478"/>
      <c r="G8" s="478"/>
      <c r="H8" s="7"/>
      <c r="I8" s="6"/>
      <c r="J8" s="7"/>
      <c r="K8" s="8"/>
      <c r="L8" s="7"/>
      <c r="M8" s="8"/>
      <c r="N8" s="7"/>
      <c r="O8" s="8"/>
    </row>
    <row r="9" spans="1:15" ht="19.5" customHeight="1" x14ac:dyDescent="0.3">
      <c r="A9" s="15"/>
      <c r="B9" s="15"/>
      <c r="C9" s="15"/>
      <c r="D9" s="15"/>
      <c r="E9" s="15"/>
      <c r="F9" s="15"/>
      <c r="G9" s="15"/>
      <c r="H9" s="7"/>
      <c r="I9" s="6"/>
      <c r="J9" s="7"/>
      <c r="K9" s="8"/>
      <c r="L9" s="7"/>
      <c r="M9" s="8"/>
      <c r="N9" s="7"/>
      <c r="O9" s="8"/>
    </row>
    <row r="10" spans="1:15" ht="16.5" customHeight="1" x14ac:dyDescent="0.3">
      <c r="A10" s="479" t="s">
        <v>32</v>
      </c>
      <c r="B10" s="479"/>
      <c r="C10" s="479"/>
      <c r="D10" s="479"/>
      <c r="E10" s="479"/>
      <c r="F10" s="479"/>
      <c r="G10" s="479"/>
      <c r="H10" s="7"/>
      <c r="I10" s="6"/>
      <c r="J10" s="7"/>
      <c r="K10" s="8"/>
      <c r="L10" s="7"/>
      <c r="M10" s="8"/>
      <c r="N10" s="7"/>
      <c r="O10" s="8"/>
    </row>
    <row r="11" spans="1:15" ht="15" customHeight="1" x14ac:dyDescent="0.3">
      <c r="A11" s="476" t="s">
        <v>33</v>
      </c>
      <c r="B11" s="476"/>
      <c r="C11" s="16" t="s">
        <v>5</v>
      </c>
      <c r="E11" s="7"/>
      <c r="F11" s="6"/>
      <c r="G11" s="7"/>
      <c r="H11" s="7"/>
      <c r="I11" s="6"/>
      <c r="J11" s="7"/>
      <c r="K11" s="8"/>
      <c r="L11" s="7"/>
      <c r="M11" s="8"/>
      <c r="N11" s="7"/>
      <c r="O11" s="8"/>
    </row>
    <row r="12" spans="1:15" ht="15" customHeight="1" x14ac:dyDescent="0.3">
      <c r="A12" s="476" t="s">
        <v>34</v>
      </c>
      <c r="B12" s="476"/>
      <c r="C12" s="16" t="s">
        <v>7</v>
      </c>
      <c r="E12" s="7"/>
      <c r="F12" s="6"/>
      <c r="G12" s="7"/>
      <c r="H12" s="7"/>
      <c r="I12" s="6"/>
      <c r="J12" s="7"/>
      <c r="K12" s="8"/>
      <c r="L12" s="7"/>
      <c r="M12" s="8"/>
      <c r="N12" s="7"/>
      <c r="O12" s="8"/>
    </row>
    <row r="13" spans="1:15" ht="15" customHeight="1" x14ac:dyDescent="0.3">
      <c r="A13" s="476" t="s">
        <v>35</v>
      </c>
      <c r="B13" s="476"/>
      <c r="C13" s="16" t="s">
        <v>9</v>
      </c>
      <c r="E13" s="7"/>
      <c r="F13" s="6"/>
      <c r="G13" s="7"/>
      <c r="H13" s="7"/>
      <c r="I13" s="6"/>
      <c r="J13" s="7"/>
      <c r="K13" s="8"/>
      <c r="L13" s="7"/>
      <c r="M13" s="8"/>
      <c r="N13" s="7"/>
      <c r="O13" s="8"/>
    </row>
    <row r="14" spans="1:15" ht="15" customHeight="1" x14ac:dyDescent="0.3">
      <c r="A14" s="476" t="s">
        <v>36</v>
      </c>
      <c r="B14" s="476"/>
      <c r="C14" s="477" t="s">
        <v>11</v>
      </c>
      <c r="D14" s="477"/>
      <c r="E14" s="477"/>
      <c r="F14" s="477"/>
      <c r="G14" s="477"/>
      <c r="H14" s="7"/>
      <c r="I14" s="6"/>
      <c r="J14" s="7"/>
      <c r="K14" s="8"/>
      <c r="L14" s="7"/>
      <c r="M14" s="8"/>
      <c r="N14" s="7"/>
      <c r="O14" s="8"/>
    </row>
    <row r="15" spans="1:15" ht="15" customHeight="1" x14ac:dyDescent="0.3">
      <c r="A15" s="476" t="s">
        <v>37</v>
      </c>
      <c r="B15" s="476"/>
      <c r="C15" s="17" t="s">
        <v>12</v>
      </c>
      <c r="D15" s="16"/>
      <c r="E15" s="7"/>
      <c r="F15" s="6"/>
      <c r="G15" s="7"/>
      <c r="H15" s="7"/>
      <c r="I15" s="6"/>
      <c r="J15" s="7"/>
      <c r="K15" s="8"/>
      <c r="L15" s="7"/>
      <c r="M15" s="8"/>
      <c r="N15" s="7"/>
      <c r="O15" s="8"/>
    </row>
    <row r="16" spans="1:15" ht="15" customHeight="1" x14ac:dyDescent="0.3">
      <c r="A16" s="476" t="s">
        <v>38</v>
      </c>
      <c r="B16" s="476"/>
      <c r="C16" s="17" t="s">
        <v>39</v>
      </c>
      <c r="D16" s="16"/>
      <c r="E16" s="7"/>
      <c r="F16" s="6"/>
      <c r="G16" s="7"/>
      <c r="H16" s="7"/>
      <c r="I16" s="6"/>
      <c r="J16" s="7"/>
      <c r="K16" s="8"/>
      <c r="L16" s="7"/>
      <c r="M16" s="8"/>
      <c r="N16" s="7"/>
      <c r="O16" s="8"/>
    </row>
    <row r="17" spans="1:15" x14ac:dyDescent="0.3">
      <c r="B17" s="16"/>
      <c r="D17" s="16"/>
      <c r="E17" s="7"/>
      <c r="F17" s="6"/>
      <c r="G17" s="7"/>
      <c r="H17" s="7"/>
      <c r="I17" s="6"/>
      <c r="J17" s="7"/>
      <c r="K17" s="8"/>
      <c r="L17" s="7"/>
      <c r="M17" s="8"/>
      <c r="N17" s="7"/>
      <c r="O17" s="8"/>
    </row>
    <row r="18" spans="1:15" ht="15" customHeight="1" x14ac:dyDescent="0.3">
      <c r="A18" s="480" t="s">
        <v>1</v>
      </c>
      <c r="B18" s="480"/>
      <c r="C18" s="18" t="s">
        <v>40</v>
      </c>
      <c r="D18" s="16"/>
      <c r="E18" s="7"/>
      <c r="F18" s="6"/>
      <c r="G18" s="7"/>
      <c r="H18" s="7"/>
      <c r="I18" s="6"/>
      <c r="J18" s="7"/>
      <c r="K18" s="8"/>
      <c r="L18" s="7"/>
      <c r="M18" s="8"/>
      <c r="N18" s="7"/>
      <c r="O18" s="8"/>
    </row>
    <row r="19" spans="1:15" ht="15.75" customHeight="1" thickBot="1" x14ac:dyDescent="0.35">
      <c r="A19" s="19"/>
      <c r="B19" s="16"/>
      <c r="D19" s="16"/>
      <c r="E19" s="7"/>
      <c r="F19" s="6"/>
      <c r="G19" s="7"/>
      <c r="H19" s="7"/>
      <c r="I19" s="6"/>
      <c r="J19" s="7"/>
      <c r="K19" s="8"/>
      <c r="L19" s="7"/>
      <c r="M19" s="8"/>
      <c r="N19" s="7"/>
      <c r="O19" s="8"/>
    </row>
    <row r="20" spans="1:15" ht="15.75" customHeight="1" thickBot="1" x14ac:dyDescent="0.35">
      <c r="A20" s="20" t="s">
        <v>41</v>
      </c>
      <c r="B20" s="21" t="s">
        <v>42</v>
      </c>
      <c r="C20" s="22" t="s">
        <v>43</v>
      </c>
      <c r="D20" s="20" t="s">
        <v>44</v>
      </c>
      <c r="E20" s="23" t="s">
        <v>45</v>
      </c>
      <c r="G20" s="7"/>
      <c r="H20" s="9"/>
      <c r="I20" s="6"/>
      <c r="J20" s="7"/>
      <c r="K20" s="8"/>
      <c r="L20" s="9"/>
      <c r="M20" s="8"/>
      <c r="N20" s="9"/>
      <c r="O20" s="8"/>
    </row>
    <row r="21" spans="1:15" ht="15" x14ac:dyDescent="0.3">
      <c r="A21" s="24">
        <v>1</v>
      </c>
      <c r="B21" s="25">
        <v>10518.32</v>
      </c>
      <c r="C21" s="26">
        <v>10457.84</v>
      </c>
      <c r="D21" s="27">
        <f t="shared" ref="D21:D30" si="0">B21-C21</f>
        <v>60.479999999999563</v>
      </c>
      <c r="E21" s="28">
        <f t="shared" ref="E21:E30" si="1">(D21-$D$33)/$D$33</f>
        <v>2.4164733375095143E-2</v>
      </c>
      <c r="G21" s="7"/>
      <c r="H21" s="9"/>
      <c r="I21" s="6"/>
      <c r="J21" s="7"/>
      <c r="K21" s="8"/>
      <c r="L21" s="9"/>
      <c r="M21" s="8"/>
      <c r="N21" s="9"/>
      <c r="O21" s="8"/>
    </row>
    <row r="22" spans="1:15" ht="15" x14ac:dyDescent="0.3">
      <c r="A22" s="29">
        <v>2</v>
      </c>
      <c r="B22" s="30">
        <v>10474.870000000001</v>
      </c>
      <c r="C22" s="31">
        <v>10411.49</v>
      </c>
      <c r="D22" s="32">
        <f t="shared" si="0"/>
        <v>63.380000000001019</v>
      </c>
      <c r="E22" s="28">
        <f t="shared" si="1"/>
        <v>7.3273161397404793E-2</v>
      </c>
      <c r="G22" s="7"/>
      <c r="H22" s="9"/>
      <c r="I22" s="6"/>
      <c r="J22" s="7"/>
      <c r="K22" s="8"/>
      <c r="L22" s="9"/>
      <c r="M22" s="8"/>
      <c r="N22" s="9"/>
      <c r="O22" s="8"/>
    </row>
    <row r="23" spans="1:15" ht="15" x14ac:dyDescent="0.3">
      <c r="A23" s="29">
        <v>3</v>
      </c>
      <c r="B23" s="30">
        <v>10426</v>
      </c>
      <c r="C23" s="31">
        <v>10362.93</v>
      </c>
      <c r="D23" s="32">
        <f t="shared" si="0"/>
        <v>63.069999999999709</v>
      </c>
      <c r="E23" s="28">
        <f t="shared" si="1"/>
        <v>6.8023639781207318E-2</v>
      </c>
      <c r="G23" s="7"/>
      <c r="H23" s="9"/>
      <c r="I23" s="6"/>
      <c r="J23" s="7"/>
      <c r="K23" s="8"/>
      <c r="L23" s="9"/>
      <c r="M23" s="8"/>
      <c r="N23" s="9"/>
      <c r="O23" s="8"/>
    </row>
    <row r="24" spans="1:15" ht="15" x14ac:dyDescent="0.3">
      <c r="A24" s="29">
        <v>4</v>
      </c>
      <c r="B24" s="30">
        <v>10403.48</v>
      </c>
      <c r="C24" s="31">
        <v>10346.629999999999</v>
      </c>
      <c r="D24" s="32">
        <f t="shared" si="0"/>
        <v>56.850000000000364</v>
      </c>
      <c r="E24" s="28">
        <f t="shared" si="1"/>
        <v>-3.7305471356234264E-2</v>
      </c>
      <c r="G24" s="7"/>
      <c r="H24" s="9"/>
      <c r="I24" s="6"/>
      <c r="J24" s="7"/>
      <c r="K24" s="8"/>
      <c r="L24" s="9"/>
      <c r="M24" s="8"/>
      <c r="N24" s="9"/>
      <c r="O24" s="8"/>
    </row>
    <row r="25" spans="1:15" ht="15" x14ac:dyDescent="0.3">
      <c r="A25" s="29">
        <v>5</v>
      </c>
      <c r="B25" s="30">
        <v>10503.13</v>
      </c>
      <c r="C25" s="31">
        <v>10441.93</v>
      </c>
      <c r="D25" s="32">
        <f t="shared" si="0"/>
        <v>61.199999999998909</v>
      </c>
      <c r="E25" s="28">
        <f t="shared" si="1"/>
        <v>3.6357170677168607E-2</v>
      </c>
      <c r="G25" s="7"/>
      <c r="H25" s="9"/>
      <c r="I25" s="6"/>
      <c r="J25" s="7"/>
      <c r="K25" s="8"/>
      <c r="L25" s="9"/>
      <c r="M25" s="8"/>
      <c r="N25" s="9"/>
      <c r="O25" s="8"/>
    </row>
    <row r="26" spans="1:15" ht="15" x14ac:dyDescent="0.3">
      <c r="A26" s="29">
        <v>6</v>
      </c>
      <c r="B26" s="30">
        <v>10449.02</v>
      </c>
      <c r="C26" s="31">
        <v>10399.24</v>
      </c>
      <c r="D26" s="32">
        <f t="shared" si="0"/>
        <v>49.780000000000655</v>
      </c>
      <c r="E26" s="28">
        <f t="shared" si="1"/>
        <v>-0.15702843208642073</v>
      </c>
      <c r="G26" s="7"/>
      <c r="H26" s="9"/>
      <c r="I26" s="6"/>
      <c r="J26" s="7"/>
      <c r="K26" s="8"/>
      <c r="L26" s="9"/>
      <c r="M26" s="8"/>
      <c r="N26" s="9"/>
      <c r="O26" s="8"/>
    </row>
    <row r="27" spans="1:15" ht="15" x14ac:dyDescent="0.3">
      <c r="A27" s="29">
        <v>7</v>
      </c>
      <c r="B27" s="30">
        <v>10435.49</v>
      </c>
      <c r="C27" s="31">
        <v>10381.84</v>
      </c>
      <c r="D27" s="32">
        <f t="shared" si="0"/>
        <v>53.649999999999636</v>
      </c>
      <c r="E27" s="28">
        <f t="shared" si="1"/>
        <v>-9.1494081587733492E-2</v>
      </c>
      <c r="G27" s="7"/>
      <c r="H27" s="9"/>
      <c r="I27" s="6"/>
      <c r="J27" s="7"/>
      <c r="K27" s="8"/>
      <c r="L27" s="9"/>
      <c r="M27" s="8"/>
      <c r="N27" s="9"/>
      <c r="O27" s="8"/>
    </row>
    <row r="28" spans="1:15" ht="15" x14ac:dyDescent="0.3">
      <c r="A28" s="29">
        <v>8</v>
      </c>
      <c r="B28" s="30">
        <v>10371.42</v>
      </c>
      <c r="C28" s="31">
        <v>10310.870000000001</v>
      </c>
      <c r="D28" s="32">
        <f t="shared" si="0"/>
        <v>60.549999999999272</v>
      </c>
      <c r="E28" s="28">
        <f t="shared" si="1"/>
        <v>2.5350109223903992E-2</v>
      </c>
      <c r="G28" s="7"/>
      <c r="H28" s="9"/>
      <c r="I28" s="6"/>
      <c r="J28" s="7"/>
      <c r="K28" s="8"/>
      <c r="L28" s="9"/>
      <c r="M28" s="8"/>
      <c r="N28" s="9"/>
      <c r="O28" s="8"/>
    </row>
    <row r="29" spans="1:15" ht="15" x14ac:dyDescent="0.3">
      <c r="A29" s="29">
        <v>9</v>
      </c>
      <c r="B29" s="30">
        <v>10558.78</v>
      </c>
      <c r="C29" s="31">
        <v>10495.3</v>
      </c>
      <c r="D29" s="32">
        <f t="shared" si="0"/>
        <v>63.480000000001382</v>
      </c>
      <c r="E29" s="28">
        <f t="shared" si="1"/>
        <v>7.4966555467144924E-2</v>
      </c>
      <c r="G29" s="7"/>
      <c r="H29" s="9"/>
      <c r="I29" s="6"/>
      <c r="J29" s="7"/>
      <c r="K29" s="8"/>
      <c r="L29" s="9"/>
      <c r="M29" s="8"/>
      <c r="N29" s="9"/>
      <c r="O29" s="8"/>
    </row>
    <row r="30" spans="1:15" ht="15" x14ac:dyDescent="0.3">
      <c r="A30" s="29">
        <v>10</v>
      </c>
      <c r="B30" s="33">
        <v>10329.73</v>
      </c>
      <c r="C30" s="31">
        <v>10271.64</v>
      </c>
      <c r="D30" s="32">
        <f t="shared" si="0"/>
        <v>58.090000000000146</v>
      </c>
      <c r="E30" s="28">
        <f t="shared" si="1"/>
        <v>-1.6307384891536783E-2</v>
      </c>
      <c r="G30" s="7"/>
      <c r="H30" s="9"/>
      <c r="I30" s="6"/>
      <c r="J30" s="7"/>
      <c r="K30" s="8"/>
      <c r="L30" s="9"/>
      <c r="M30" s="8"/>
      <c r="N30" s="9"/>
      <c r="O30" s="8"/>
    </row>
    <row r="31" spans="1:15" ht="14.25" customHeight="1" thickBot="1" x14ac:dyDescent="0.35">
      <c r="B31" s="16"/>
      <c r="D31" s="8"/>
      <c r="G31" s="7"/>
    </row>
    <row r="32" spans="1:15" x14ac:dyDescent="0.3">
      <c r="A32" s="34" t="s">
        <v>46</v>
      </c>
      <c r="B32" s="35">
        <f>SUM(B21:B30)</f>
        <v>104470.23999999999</v>
      </c>
      <c r="C32" s="36">
        <f>SUM(C21:C30)</f>
        <v>103879.70999999999</v>
      </c>
      <c r="D32" s="37">
        <f>SUM(D21:D30)</f>
        <v>590.53000000000065</v>
      </c>
    </row>
    <row r="33" spans="1:7" ht="15.75" customHeight="1" x14ac:dyDescent="0.3">
      <c r="A33" s="38" t="s">
        <v>47</v>
      </c>
      <c r="B33" s="39">
        <f>AVERAGE(B21:B30)</f>
        <v>10447.023999999999</v>
      </c>
      <c r="C33" s="40">
        <f>AVERAGE(C21:C30)</f>
        <v>10387.971</v>
      </c>
      <c r="D33" s="41">
        <f>AVERAGE(D21:D30)</f>
        <v>59.053000000000068</v>
      </c>
    </row>
    <row r="34" spans="1:7" x14ac:dyDescent="0.3">
      <c r="A34" s="10"/>
      <c r="B34" s="42"/>
      <c r="C34" s="42"/>
      <c r="D34" s="16"/>
    </row>
    <row r="35" spans="1:7" ht="14.25" customHeight="1" x14ac:dyDescent="0.3">
      <c r="A35" s="10"/>
      <c r="B35" s="10"/>
      <c r="C35" s="10"/>
      <c r="D35" s="16"/>
    </row>
    <row r="36" spans="1:7" ht="30.75" customHeight="1" x14ac:dyDescent="0.3">
      <c r="B36" s="43" t="s">
        <v>47</v>
      </c>
      <c r="C36" s="44" t="s">
        <v>48</v>
      </c>
    </row>
    <row r="37" spans="1:7" ht="15.75" customHeight="1" x14ac:dyDescent="0.3">
      <c r="B37" s="481">
        <f>D33</f>
        <v>59.053000000000068</v>
      </c>
      <c r="C37" s="45">
        <f>-(IF(D33&gt;300, 7.5%, 10%))</f>
        <v>-0.1</v>
      </c>
      <c r="D37" s="46">
        <f>IF(D33&lt;300, D33*0.9, D33*0.925)</f>
        <v>53.147700000000064</v>
      </c>
    </row>
    <row r="38" spans="1:7" ht="15.75" customHeight="1" x14ac:dyDescent="0.3">
      <c r="B38" s="482"/>
      <c r="C38" s="47">
        <f>+(IF(D33&gt;300, 7.5%, 10%))</f>
        <v>0.1</v>
      </c>
      <c r="D38" s="46">
        <f>IF(D33&lt;300, D33*1.1, D33*1.075)</f>
        <v>64.958300000000079</v>
      </c>
    </row>
    <row r="39" spans="1:7" ht="14.25" customHeight="1" x14ac:dyDescent="0.3">
      <c r="A39" s="48"/>
      <c r="D39" s="49"/>
    </row>
    <row r="40" spans="1:7" ht="15" customHeight="1" x14ac:dyDescent="0.3">
      <c r="B40" s="483" t="s">
        <v>26</v>
      </c>
      <c r="C40" s="483"/>
      <c r="D40" s="16"/>
      <c r="E40" s="50" t="s">
        <v>27</v>
      </c>
      <c r="F40" s="51"/>
      <c r="G40" s="50" t="s">
        <v>28</v>
      </c>
    </row>
    <row r="41" spans="1:7" ht="15" customHeight="1" x14ac:dyDescent="0.3">
      <c r="A41" s="52" t="s">
        <v>29</v>
      </c>
      <c r="B41" s="53"/>
      <c r="C41" s="53"/>
      <c r="D41" s="16"/>
      <c r="E41" s="53"/>
      <c r="F41" s="10"/>
      <c r="G41" s="54"/>
    </row>
    <row r="42" spans="1:7" ht="15" customHeight="1" x14ac:dyDescent="0.3">
      <c r="A42" s="52" t="s">
        <v>30</v>
      </c>
      <c r="B42" s="55"/>
      <c r="C42" s="55"/>
      <c r="D42" s="16"/>
      <c r="E42" s="55"/>
      <c r="F42" s="10"/>
      <c r="G42" s="56"/>
    </row>
  </sheetData>
  <sheetProtection formatColumns="0" formatRows="0" insertColumns="0" insertHyperlinks="0" deleteColumns="0" deleteRows="0" autoFilter="0" pivotTables="0"/>
  <mergeCells count="12">
    <mergeCell ref="A15:B15"/>
    <mergeCell ref="A16:B16"/>
    <mergeCell ref="A18:B18"/>
    <mergeCell ref="B37:B38"/>
    <mergeCell ref="B40:C4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3" priority="1" operator="notBetween">
      <formula>IF(+$D$33&lt;300, -10.5%, -7.5%)</formula>
      <formula>IF(+$D$33&lt;300, 10.5%, 7.5%)</formula>
    </cfRule>
  </conditionalFormatting>
  <conditionalFormatting sqref="E22">
    <cfRule type="cellIs" dxfId="22" priority="2" operator="notBetween">
      <formula>IF(+$D$33&lt;300, -10.5%, -7.5%)</formula>
      <formula>IF(+$D$33&lt;300, 10.5%, 7.5%)</formula>
    </cfRule>
  </conditionalFormatting>
  <conditionalFormatting sqref="E23">
    <cfRule type="cellIs" dxfId="21" priority="3" operator="notBetween">
      <formula>IF(+$D$33&lt;300, -10.5%, -7.5%)</formula>
      <formula>IF(+$D$33&lt;300, 10.5%, 7.5%)</formula>
    </cfRule>
  </conditionalFormatting>
  <conditionalFormatting sqref="E24">
    <cfRule type="cellIs" dxfId="20" priority="4" operator="notBetween">
      <formula>IF(+$D$33&lt;300, -10.5%, -7.5%)</formula>
      <formula>IF(+$D$33&lt;300, 10.5%, 7.5%)</formula>
    </cfRule>
  </conditionalFormatting>
  <conditionalFormatting sqref="E25">
    <cfRule type="cellIs" dxfId="19" priority="5" operator="notBetween">
      <formula>IF(+$D$33&lt;300, -10.5%, -7.5%)</formula>
      <formula>IF(+$D$33&lt;300, 10.5%, 7.5%)</formula>
    </cfRule>
  </conditionalFormatting>
  <conditionalFormatting sqref="E26">
    <cfRule type="cellIs" dxfId="18" priority="6" operator="notBetween">
      <formula>IF(+$D$33&lt;300, -10.5%, -7.5%)</formula>
      <formula>IF(+$D$33&lt;300, 10.5%, 7.5%)</formula>
    </cfRule>
  </conditionalFormatting>
  <conditionalFormatting sqref="E27">
    <cfRule type="cellIs" dxfId="17" priority="7" operator="notBetween">
      <formula>IF(+$D$33&lt;300, -10.5%, -7.5%)</formula>
      <formula>IF(+$D$33&lt;300, 10.5%, 7.5%)</formula>
    </cfRule>
  </conditionalFormatting>
  <conditionalFormatting sqref="E28">
    <cfRule type="cellIs" dxfId="16" priority="8" operator="notBetween">
      <formula>IF(+$D$33&lt;300, -10.5%, -7.5%)</formula>
      <formula>IF(+$D$33&lt;300, 10.5%, 7.5%)</formula>
    </cfRule>
  </conditionalFormatting>
  <conditionalFormatting sqref="E29">
    <cfRule type="cellIs" dxfId="15" priority="9" operator="notBetween">
      <formula>IF(+$D$33&lt;300, -10.5%, -7.5%)</formula>
      <formula>IF(+$D$33&lt;300, 10.5%, 7.5%)</formula>
    </cfRule>
  </conditionalFormatting>
  <conditionalFormatting sqref="E30">
    <cfRule type="cellIs" dxfId="14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9" zoomScale="39" zoomScaleNormal="75" zoomScalePageLayoutView="39" workbookViewId="0">
      <selection sqref="A1:I65"/>
    </sheetView>
  </sheetViews>
  <sheetFormatPr defaultRowHeight="16.5" x14ac:dyDescent="0.3"/>
  <cols>
    <col min="1" max="1" width="66.28515625" style="204" customWidth="1"/>
    <col min="2" max="2" width="32.28515625" style="204" customWidth="1"/>
    <col min="3" max="3" width="33.28515625" style="204" customWidth="1"/>
    <col min="4" max="4" width="30.5703125" style="204" customWidth="1"/>
    <col min="5" max="5" width="33.5703125" style="204" customWidth="1"/>
    <col min="6" max="6" width="39.85546875" style="204" customWidth="1"/>
    <col min="7" max="7" width="31.7109375" style="204" customWidth="1"/>
    <col min="8" max="8" width="31.140625" style="204" customWidth="1"/>
    <col min="9" max="9" width="32.28515625" style="203" customWidth="1"/>
    <col min="10" max="10" width="22.28515625" style="203" customWidth="1"/>
    <col min="11" max="11" width="19.5703125" style="203" customWidth="1"/>
    <col min="12" max="12" width="21.140625" style="203" customWidth="1"/>
    <col min="13" max="13" width="9.140625" style="203" customWidth="1"/>
    <col min="14" max="16384" width="9.140625" style="205"/>
  </cols>
  <sheetData>
    <row r="1" spans="1:9" ht="15" x14ac:dyDescent="0.3">
      <c r="A1" s="484" t="s">
        <v>117</v>
      </c>
      <c r="B1" s="484"/>
      <c r="C1" s="484"/>
      <c r="D1" s="484"/>
      <c r="E1" s="484"/>
      <c r="F1" s="484"/>
      <c r="G1" s="484"/>
      <c r="H1" s="484"/>
      <c r="I1" s="484"/>
    </row>
    <row r="2" spans="1:9" ht="15" x14ac:dyDescent="0.3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5" x14ac:dyDescent="0.3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5" x14ac:dyDescent="0.3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5" x14ac:dyDescent="0.3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5" x14ac:dyDescent="0.3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5" x14ac:dyDescent="0.3">
      <c r="A7" s="484"/>
      <c r="B7" s="484"/>
      <c r="C7" s="484"/>
      <c r="D7" s="484"/>
      <c r="E7" s="484"/>
      <c r="F7" s="484"/>
      <c r="G7" s="484"/>
      <c r="H7" s="484"/>
      <c r="I7" s="484"/>
    </row>
    <row r="8" spans="1:9" ht="15" x14ac:dyDescent="0.3">
      <c r="A8" s="485" t="s">
        <v>50</v>
      </c>
      <c r="B8" s="485"/>
      <c r="C8" s="485"/>
      <c r="D8" s="485"/>
      <c r="E8" s="485"/>
      <c r="F8" s="485"/>
      <c r="G8" s="485"/>
      <c r="H8" s="485"/>
      <c r="I8" s="485"/>
    </row>
    <row r="9" spans="1:9" ht="15" x14ac:dyDescent="0.3">
      <c r="A9" s="485"/>
      <c r="B9" s="485"/>
      <c r="C9" s="485"/>
      <c r="D9" s="485"/>
      <c r="E9" s="485"/>
      <c r="F9" s="485"/>
      <c r="G9" s="485"/>
      <c r="H9" s="485"/>
      <c r="I9" s="485"/>
    </row>
    <row r="10" spans="1:9" ht="15" x14ac:dyDescent="0.3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ht="15" x14ac:dyDescent="0.3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ht="15" x14ac:dyDescent="0.3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ht="15" x14ac:dyDescent="0.3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ht="15" x14ac:dyDescent="0.3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thickBot="1" x14ac:dyDescent="0.35"/>
    <row r="16" spans="1:9" ht="19.5" customHeight="1" thickBot="1" x14ac:dyDescent="0.35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18.75" x14ac:dyDescent="0.3">
      <c r="A17" s="489" t="s">
        <v>51</v>
      </c>
      <c r="B17" s="489"/>
      <c r="C17" s="489"/>
      <c r="D17" s="489"/>
      <c r="E17" s="489"/>
      <c r="F17" s="489"/>
      <c r="G17" s="489"/>
      <c r="H17" s="489"/>
    </row>
    <row r="18" spans="1:14" ht="18.75" x14ac:dyDescent="0.3">
      <c r="A18" s="206" t="s">
        <v>33</v>
      </c>
      <c r="B18" s="207" t="s">
        <v>118</v>
      </c>
      <c r="C18" s="207"/>
      <c r="D18" s="207"/>
      <c r="E18" s="207"/>
    </row>
    <row r="19" spans="1:14" ht="18.75" x14ac:dyDescent="0.3">
      <c r="A19" s="206" t="s">
        <v>34</v>
      </c>
      <c r="B19" s="208" t="s">
        <v>7</v>
      </c>
      <c r="C19" s="209">
        <v>22</v>
      </c>
    </row>
    <row r="20" spans="1:14" ht="18.75" x14ac:dyDescent="0.3">
      <c r="A20" s="206" t="s">
        <v>35</v>
      </c>
      <c r="B20" s="208" t="s">
        <v>119</v>
      </c>
    </row>
    <row r="21" spans="1:14" ht="18.75" x14ac:dyDescent="0.3">
      <c r="A21" s="206" t="s">
        <v>36</v>
      </c>
      <c r="B21" s="210" t="s">
        <v>11</v>
      </c>
      <c r="C21" s="210"/>
      <c r="D21" s="210"/>
      <c r="E21" s="210"/>
      <c r="F21" s="210"/>
      <c r="G21" s="210"/>
      <c r="H21" s="210"/>
      <c r="I21" s="211"/>
    </row>
    <row r="22" spans="1:14" ht="18.75" x14ac:dyDescent="0.3">
      <c r="A22" s="206" t="s">
        <v>37</v>
      </c>
      <c r="B22" s="212">
        <v>43089</v>
      </c>
    </row>
    <row r="23" spans="1:14" ht="18.75" x14ac:dyDescent="0.3">
      <c r="A23" s="206" t="s">
        <v>38</v>
      </c>
      <c r="B23" s="212">
        <v>43090</v>
      </c>
    </row>
    <row r="24" spans="1:14" ht="18.75" x14ac:dyDescent="0.3">
      <c r="A24" s="206"/>
      <c r="B24" s="213"/>
    </row>
    <row r="25" spans="1:14" ht="18.75" x14ac:dyDescent="0.3">
      <c r="A25" s="214" t="s">
        <v>1</v>
      </c>
      <c r="B25" s="215" t="s">
        <v>120</v>
      </c>
    </row>
    <row r="26" spans="1:14" s="221" customFormat="1" ht="18.75" x14ac:dyDescent="0.3">
      <c r="A26" s="216"/>
      <c r="B26" s="217"/>
      <c r="C26" s="218"/>
      <c r="D26" s="218"/>
      <c r="E26" s="218"/>
      <c r="F26" s="218"/>
      <c r="G26" s="218"/>
      <c r="H26" s="218"/>
      <c r="I26" s="219"/>
      <c r="J26" s="219"/>
      <c r="K26" s="219"/>
      <c r="L26" s="219"/>
      <c r="M26" s="219"/>
      <c r="N26" s="220"/>
    </row>
    <row r="27" spans="1:14" s="221" customFormat="1" ht="26.25" customHeight="1" x14ac:dyDescent="0.4">
      <c r="A27" s="222" t="s">
        <v>4</v>
      </c>
      <c r="B27" s="223" t="s">
        <v>121</v>
      </c>
      <c r="C27" s="224"/>
      <c r="D27" s="220"/>
      <c r="E27" s="220"/>
      <c r="F27" s="220"/>
      <c r="G27" s="220"/>
      <c r="H27" s="218"/>
      <c r="I27" s="219"/>
      <c r="J27" s="219"/>
      <c r="K27" s="219"/>
      <c r="L27" s="219"/>
      <c r="M27" s="219"/>
      <c r="N27" s="220"/>
    </row>
    <row r="28" spans="1:14" s="221" customFormat="1" ht="26.25" customHeight="1" x14ac:dyDescent="0.4">
      <c r="A28" s="225" t="s">
        <v>122</v>
      </c>
      <c r="B28" s="224">
        <v>58.44</v>
      </c>
      <c r="C28" s="226"/>
      <c r="D28" s="227"/>
      <c r="E28" s="227"/>
      <c r="F28" s="227"/>
      <c r="G28" s="227"/>
      <c r="H28" s="218"/>
      <c r="I28" s="219"/>
      <c r="J28" s="219"/>
      <c r="K28" s="219"/>
      <c r="L28" s="219"/>
      <c r="M28" s="219"/>
      <c r="N28" s="220"/>
    </row>
    <row r="29" spans="1:14" s="221" customFormat="1" ht="26.25" customHeight="1" x14ac:dyDescent="0.4">
      <c r="A29" s="216" t="s">
        <v>123</v>
      </c>
      <c r="B29" s="228">
        <v>0.1</v>
      </c>
      <c r="C29" s="226"/>
      <c r="D29" s="227"/>
      <c r="E29" s="227"/>
      <c r="F29" s="227"/>
      <c r="G29" s="227"/>
      <c r="H29" s="218"/>
      <c r="I29" s="219"/>
      <c r="J29" s="219"/>
      <c r="K29" s="219"/>
      <c r="L29" s="219"/>
      <c r="M29" s="219"/>
      <c r="N29" s="220"/>
    </row>
    <row r="30" spans="1:14" s="221" customFormat="1" ht="18.75" x14ac:dyDescent="0.3">
      <c r="A30" s="229" t="s">
        <v>124</v>
      </c>
      <c r="B30" s="230">
        <v>1</v>
      </c>
      <c r="C30" s="231" t="s">
        <v>125</v>
      </c>
      <c r="D30" s="230">
        <v>1</v>
      </c>
      <c r="F30" s="218"/>
      <c r="G30" s="218"/>
      <c r="H30" s="218"/>
      <c r="I30" s="219"/>
      <c r="J30" s="219"/>
      <c r="K30" s="219"/>
      <c r="L30" s="219"/>
      <c r="M30" s="219"/>
      <c r="N30" s="220"/>
    </row>
    <row r="31" spans="1:14" s="221" customFormat="1" ht="18.75" x14ac:dyDescent="0.3">
      <c r="A31" s="216"/>
      <c r="B31" s="217"/>
      <c r="C31" s="218"/>
      <c r="D31" s="218"/>
      <c r="E31" s="218"/>
      <c r="F31" s="218"/>
      <c r="G31" s="218"/>
      <c r="H31" s="218"/>
      <c r="I31" s="219"/>
      <c r="J31" s="219"/>
      <c r="K31" s="219"/>
      <c r="L31" s="219"/>
      <c r="M31" s="219"/>
      <c r="N31" s="220"/>
    </row>
    <row r="32" spans="1:14" s="221" customFormat="1" ht="19.5" customHeight="1" thickBot="1" x14ac:dyDescent="0.35">
      <c r="A32" s="216"/>
      <c r="B32" s="217"/>
      <c r="C32" s="218"/>
      <c r="D32" s="218"/>
      <c r="E32" s="218"/>
      <c r="F32" s="218"/>
      <c r="G32" s="218"/>
      <c r="H32" s="218"/>
      <c r="I32" s="219"/>
      <c r="J32" s="219"/>
      <c r="K32" s="219"/>
      <c r="L32" s="219"/>
      <c r="M32" s="219"/>
      <c r="N32" s="220"/>
    </row>
    <row r="33" spans="1:14" s="221" customFormat="1" ht="19.5" customHeight="1" thickBot="1" x14ac:dyDescent="0.35">
      <c r="A33" s="232" t="s">
        <v>126</v>
      </c>
      <c r="B33" s="232" t="s">
        <v>127</v>
      </c>
      <c r="C33" s="233" t="s">
        <v>128</v>
      </c>
      <c r="D33" s="232" t="s">
        <v>129</v>
      </c>
      <c r="E33" s="234" t="s">
        <v>130</v>
      </c>
      <c r="F33" s="234" t="s">
        <v>131</v>
      </c>
      <c r="G33" s="232" t="s">
        <v>132</v>
      </c>
      <c r="J33" s="219"/>
      <c r="K33" s="219"/>
      <c r="L33" s="219"/>
      <c r="M33" s="219"/>
      <c r="N33" s="220"/>
    </row>
    <row r="34" spans="1:14" s="221" customFormat="1" ht="26.25" customHeight="1" x14ac:dyDescent="0.4">
      <c r="A34" s="235" t="s">
        <v>133</v>
      </c>
      <c r="B34" s="236">
        <v>50.34</v>
      </c>
      <c r="C34" s="237">
        <f>IF(ISBLANK(B34), "-",B34/$B$28*($B$30/$D$30))</f>
        <v>0.86139630390143751</v>
      </c>
      <c r="D34" s="238">
        <v>8.5679999999999996</v>
      </c>
      <c r="E34" s="239">
        <f>IF(ISBLANK(B34), "-",C34/D34)</f>
        <v>0.10053645003518179</v>
      </c>
      <c r="F34" s="240">
        <f>IF(ISBLANK(B34), "-",(E34-$B$29)/$B$29)</f>
        <v>5.3645003518178191E-3</v>
      </c>
      <c r="G34" s="241">
        <f>IF(ISBLANK(B34),"-",E34/$B$29)</f>
        <v>1.0053645003518179</v>
      </c>
      <c r="J34" s="219"/>
      <c r="K34" s="219"/>
      <c r="L34" s="219"/>
      <c r="M34" s="219"/>
      <c r="N34" s="220"/>
    </row>
    <row r="35" spans="1:14" s="221" customFormat="1" ht="26.25" customHeight="1" x14ac:dyDescent="0.4">
      <c r="A35" s="242" t="s">
        <v>134</v>
      </c>
      <c r="B35" s="243">
        <v>50.28</v>
      </c>
      <c r="C35" s="244">
        <f>IF(ISBLANK(B35), "-",B35/$B$28*($B$30/$D$30))</f>
        <v>0.86036960985626287</v>
      </c>
      <c r="D35" s="245">
        <v>8.5619999999999994</v>
      </c>
      <c r="E35" s="246">
        <f>IF(ISBLANK(B35), "-",C35/D35)</f>
        <v>0.10048699017242034</v>
      </c>
      <c r="F35" s="247">
        <f>IF(ISBLANK(B35), "-",(E35-$B$29)/$B$29)</f>
        <v>4.869901724203346E-3</v>
      </c>
      <c r="G35" s="248">
        <f>IF(ISBLANK(B35),"-",E35/$B$29)</f>
        <v>1.0048699017242033</v>
      </c>
      <c r="J35" s="219"/>
      <c r="K35" s="219"/>
      <c r="L35" s="219"/>
      <c r="M35" s="219"/>
      <c r="N35" s="220"/>
    </row>
    <row r="36" spans="1:14" s="221" customFormat="1" ht="26.25" customHeight="1" x14ac:dyDescent="0.4">
      <c r="A36" s="242" t="s">
        <v>135</v>
      </c>
      <c r="B36" s="243">
        <v>50.41</v>
      </c>
      <c r="C36" s="244">
        <f>IF(ISBLANK(B36), "-",B36/$B$28*($B$30/$D$30))</f>
        <v>0.86259411362080762</v>
      </c>
      <c r="D36" s="245">
        <v>8.56</v>
      </c>
      <c r="E36" s="246">
        <f>IF(ISBLANK(B36), "-",C36/D36)</f>
        <v>0.10077034037626256</v>
      </c>
      <c r="F36" s="247">
        <f>IF(ISBLANK(B36), "-",(E36-$B$29)/$B$29)</f>
        <v>7.7034037626255714E-3</v>
      </c>
      <c r="G36" s="248">
        <f>IF(ISBLANK(B36),"-",E36/$B$29)</f>
        <v>1.0077034037626256</v>
      </c>
      <c r="J36" s="219"/>
      <c r="K36" s="219"/>
      <c r="L36" s="219"/>
      <c r="M36" s="219"/>
      <c r="N36" s="220"/>
    </row>
    <row r="37" spans="1:14" s="221" customFormat="1" ht="27" customHeight="1" thickBot="1" x14ac:dyDescent="0.45">
      <c r="A37" s="249" t="s">
        <v>136</v>
      </c>
      <c r="B37" s="250"/>
      <c r="C37" s="251" t="str">
        <f>IF(ISBLANK(B37), "-",B37/$B$28*($B$30/$D$30))</f>
        <v>-</v>
      </c>
      <c r="D37" s="252"/>
      <c r="E37" s="253" t="str">
        <f>IF(ISBLANK(B37), "-",C37/D37)</f>
        <v>-</v>
      </c>
      <c r="F37" s="254" t="str">
        <f>IF(ISBLANK(B37), "-",(E37-$B$29)/$B$29)</f>
        <v>-</v>
      </c>
      <c r="G37" s="255" t="str">
        <f>IF(ISBLANK(B37),"-",E37/$B$29)</f>
        <v>-</v>
      </c>
      <c r="J37" s="219"/>
      <c r="K37" s="219"/>
      <c r="L37" s="219"/>
      <c r="M37" s="219"/>
      <c r="N37" s="220"/>
    </row>
    <row r="38" spans="1:14" ht="19.5" customHeight="1" thickBot="1" x14ac:dyDescent="0.35">
      <c r="A38" s="220"/>
      <c r="B38" s="220"/>
      <c r="C38" s="220"/>
      <c r="D38" s="256" t="s">
        <v>137</v>
      </c>
      <c r="E38" s="257">
        <f>AVERAGE(E34:E37)</f>
        <v>0.10059792686128823</v>
      </c>
      <c r="F38" s="258">
        <f>AVERAGE(F34:F37)</f>
        <v>5.9792686128822452E-3</v>
      </c>
      <c r="G38" s="259">
        <f>AVERAGE(G34:G37)</f>
        <v>1.0059792686128821</v>
      </c>
      <c r="H38" s="220"/>
      <c r="L38" s="219"/>
      <c r="M38" s="219"/>
      <c r="N38" s="220"/>
    </row>
    <row r="39" spans="1:14" ht="18.75" x14ac:dyDescent="0.3">
      <c r="A39" s="220"/>
      <c r="B39" s="260"/>
      <c r="C39" s="261"/>
      <c r="D39" s="262" t="s">
        <v>87</v>
      </c>
      <c r="E39" s="263">
        <f>STDEV(E34:E37)/E38</f>
        <v>1.5044897854204103E-3</v>
      </c>
      <c r="F39" s="264"/>
      <c r="G39" s="220"/>
      <c r="H39" s="220"/>
    </row>
    <row r="40" spans="1:14" ht="19.5" customHeight="1" thickBot="1" x14ac:dyDescent="0.35">
      <c r="A40" s="220"/>
      <c r="B40" s="260"/>
      <c r="C40" s="261"/>
      <c r="D40" s="265" t="s">
        <v>20</v>
      </c>
      <c r="E40" s="266">
        <f>COUNT(E34:E37)</f>
        <v>3</v>
      </c>
      <c r="F40" s="267"/>
      <c r="G40" s="220"/>
      <c r="H40" s="220"/>
    </row>
    <row r="41" spans="1:14" ht="18.75" x14ac:dyDescent="0.3">
      <c r="A41" s="268"/>
      <c r="B41" s="269"/>
      <c r="C41" s="260"/>
      <c r="D41" s="260"/>
      <c r="E41" s="260"/>
      <c r="F41" s="270"/>
      <c r="G41" s="220"/>
      <c r="H41" s="220"/>
    </row>
    <row r="43" spans="1:14" ht="18.75" x14ac:dyDescent="0.3">
      <c r="A43" s="271" t="s">
        <v>1</v>
      </c>
      <c r="B43" s="215" t="s">
        <v>88</v>
      </c>
    </row>
    <row r="44" spans="1:14" ht="18.75" x14ac:dyDescent="0.3">
      <c r="A44" s="216" t="s">
        <v>89</v>
      </c>
      <c r="B44" s="272" t="str">
        <f>B21</f>
        <v>Each box contains 1 vial of Artesunate 60 mg for injection, 1 ampoule of sodium bicarbonate 50 mg/mL injection and 1 ampoule of sodium chloride 9 mg/mL injection.</v>
      </c>
    </row>
    <row r="45" spans="1:14" ht="18.75" x14ac:dyDescent="0.3">
      <c r="A45" s="272"/>
      <c r="B45" s="273"/>
      <c r="H45" s="274"/>
    </row>
    <row r="46" spans="1:14" ht="26.25" customHeight="1" x14ac:dyDescent="0.4">
      <c r="A46" s="272" t="s">
        <v>138</v>
      </c>
      <c r="B46" s="275">
        <v>1</v>
      </c>
      <c r="C46" s="218" t="s">
        <v>139</v>
      </c>
      <c r="D46" s="276">
        <v>9</v>
      </c>
      <c r="E46" s="218" t="str">
        <f>B20</f>
        <v>CHLORIDE</v>
      </c>
      <c r="H46" s="274"/>
    </row>
    <row r="47" spans="1:14" ht="18.75" x14ac:dyDescent="0.3">
      <c r="A47" s="272"/>
      <c r="B47" s="277"/>
      <c r="H47" s="274"/>
    </row>
    <row r="48" spans="1:14" ht="26.25" customHeight="1" x14ac:dyDescent="0.4">
      <c r="A48" s="216" t="s">
        <v>140</v>
      </c>
      <c r="B48" s="278">
        <v>5.8440000000000003</v>
      </c>
      <c r="C48" s="220" t="str">
        <f>B20</f>
        <v>CHLORIDE</v>
      </c>
      <c r="H48" s="274"/>
    </row>
    <row r="49" spans="1:10" ht="19.5" customHeight="1" thickBot="1" x14ac:dyDescent="0.35">
      <c r="A49" s="220"/>
      <c r="B49" s="220"/>
      <c r="C49" s="220"/>
      <c r="D49" s="220"/>
      <c r="H49" s="274"/>
    </row>
    <row r="50" spans="1:10" ht="19.5" customHeight="1" thickBot="1" x14ac:dyDescent="0.35">
      <c r="C50" s="220"/>
      <c r="D50" s="220"/>
      <c r="E50" s="220"/>
      <c r="F50" s="220"/>
      <c r="G50" s="490" t="s">
        <v>141</v>
      </c>
      <c r="H50" s="491"/>
      <c r="J50" s="279"/>
    </row>
    <row r="51" spans="1:10" ht="19.5" customHeight="1" thickBot="1" x14ac:dyDescent="0.35">
      <c r="A51" s="280" t="s">
        <v>142</v>
      </c>
      <c r="B51" s="232" t="s">
        <v>143</v>
      </c>
      <c r="C51" s="232" t="s">
        <v>144</v>
      </c>
      <c r="D51" s="232" t="s">
        <v>145</v>
      </c>
      <c r="E51" s="232" t="s">
        <v>146</v>
      </c>
      <c r="F51" s="281" t="s">
        <v>147</v>
      </c>
      <c r="G51" s="232" t="s">
        <v>148</v>
      </c>
      <c r="H51" s="232" t="s">
        <v>149</v>
      </c>
      <c r="I51" s="282" t="s">
        <v>150</v>
      </c>
      <c r="J51" s="283"/>
    </row>
    <row r="52" spans="1:10" ht="26.25" customHeight="1" x14ac:dyDescent="0.4">
      <c r="A52" s="284" t="s">
        <v>133</v>
      </c>
      <c r="B52" s="285">
        <v>4</v>
      </c>
      <c r="C52" s="286">
        <v>6.1459999999999999</v>
      </c>
      <c r="D52" s="287">
        <v>0</v>
      </c>
      <c r="E52" s="288">
        <f>IF(ISBLANK(B52),"-",C52-$D$56)</f>
        <v>6.1459999999999999</v>
      </c>
      <c r="F52" s="289">
        <f>IF(ISBLANK(B52), "-",E52*$G$38)</f>
        <v>6.1827485848947736</v>
      </c>
      <c r="G52" s="290">
        <f>IF(ISBLANK(B52),"-",F52*$B$48)</f>
        <v>36.13198273012506</v>
      </c>
      <c r="H52" s="291">
        <f>IF(ISBLANK(B52),"-",G52*$B$46/B52)</f>
        <v>9.0329956825312649</v>
      </c>
      <c r="I52" s="240">
        <f>IF(ISBLANK(B52),"-",H52/$D$46)</f>
        <v>1.0036661869479184</v>
      </c>
      <c r="J52" s="292"/>
    </row>
    <row r="53" spans="1:10" ht="26.25" customHeight="1" x14ac:dyDescent="0.4">
      <c r="A53" s="293" t="s">
        <v>134</v>
      </c>
      <c r="B53" s="294">
        <v>4</v>
      </c>
      <c r="C53" s="295">
        <v>6.1689999999999996</v>
      </c>
      <c r="D53" s="296">
        <v>0</v>
      </c>
      <c r="E53" s="297">
        <f>IF(ISBLANK(B53),"-",C53-$D$56)</f>
        <v>6.1689999999999996</v>
      </c>
      <c r="F53" s="298">
        <f>IF(ISBLANK(B53), "-",E53*$G$38)</f>
        <v>6.2058861080728693</v>
      </c>
      <c r="G53" s="299">
        <f>IF(ISBLANK(B53),"-",F53*$B$48)</f>
        <v>36.267198415577852</v>
      </c>
      <c r="H53" s="300">
        <f>IF(ISBLANK(B53),"-",G53*$B$46/B53)</f>
        <v>9.0667996038944629</v>
      </c>
      <c r="I53" s="247">
        <f>IF(ISBLANK(B53),"-",H53/$D$46)</f>
        <v>1.007422178210496</v>
      </c>
      <c r="J53" s="292"/>
    </row>
    <row r="54" spans="1:10" ht="26.25" customHeight="1" x14ac:dyDescent="0.4">
      <c r="A54" s="293" t="s">
        <v>135</v>
      </c>
      <c r="B54" s="294">
        <v>4</v>
      </c>
      <c r="C54" s="295">
        <v>6.1559999999999997</v>
      </c>
      <c r="D54" s="296">
        <v>0</v>
      </c>
      <c r="E54" s="297">
        <f>IF(ISBLANK(B54),"-",C54-$D$56)</f>
        <v>6.1559999999999997</v>
      </c>
      <c r="F54" s="298">
        <f>IF(ISBLANK(B54), "-",E54*$G$38)</f>
        <v>6.192808377580902</v>
      </c>
      <c r="G54" s="299">
        <f>IF(ISBLANK(B54),"-",F54*$B$48)</f>
        <v>36.190772158582796</v>
      </c>
      <c r="H54" s="300">
        <f>IF(ISBLANK(B54),"-",G54*$B$46/B54)</f>
        <v>9.0476930396456989</v>
      </c>
      <c r="I54" s="247">
        <f>IF(ISBLANK(B54),"-",H54/$D$46)</f>
        <v>1.0052992266273</v>
      </c>
      <c r="J54" s="292"/>
    </row>
    <row r="55" spans="1:10" ht="27" customHeight="1" thickBot="1" x14ac:dyDescent="0.45">
      <c r="A55" s="301" t="s">
        <v>136</v>
      </c>
      <c r="B55" s="302"/>
      <c r="C55" s="303"/>
      <c r="D55" s="304"/>
      <c r="E55" s="305" t="str">
        <f>IF(ISBLANK(B55),"-",C55-$D$56)</f>
        <v>-</v>
      </c>
      <c r="F55" s="306" t="str">
        <f>IF(ISBLANK(B55), "-",E55*$G$38)</f>
        <v>-</v>
      </c>
      <c r="G55" s="307" t="str">
        <f>IF(ISBLANK(B55),"-",F55*$B$48)</f>
        <v>-</v>
      </c>
      <c r="H55" s="308" t="str">
        <f>IF(ISBLANK(B55),"-",G55*$B$46/B55)</f>
        <v>-</v>
      </c>
      <c r="I55" s="247" t="str">
        <f>IF(ISBLANK(B55),"-",H55/$D$46)</f>
        <v>-</v>
      </c>
      <c r="J55" s="267"/>
    </row>
    <row r="56" spans="1:10" ht="26.25" customHeight="1" x14ac:dyDescent="0.4">
      <c r="C56" s="309" t="s">
        <v>137</v>
      </c>
      <c r="D56" s="310">
        <f>AVERAGE(D52:D55)</f>
        <v>0</v>
      </c>
      <c r="F56" s="309" t="s">
        <v>137</v>
      </c>
      <c r="G56" s="311">
        <f>AVERAGE(G52:G55)</f>
        <v>36.196651101428564</v>
      </c>
      <c r="H56" s="312">
        <f>AVERAGE(H52:H55)</f>
        <v>9.0491627753571411</v>
      </c>
      <c r="I56" s="313">
        <f>AVERAGE(I52:I55)</f>
        <v>1.0054625305952383</v>
      </c>
      <c r="J56" s="314"/>
    </row>
    <row r="57" spans="1:10" ht="26.25" customHeight="1" x14ac:dyDescent="0.4">
      <c r="B57" s="204" t="str">
        <f>[1]Uniformity!C46</f>
        <v>% Deviation from mean</v>
      </c>
      <c r="C57" s="262" t="s">
        <v>87</v>
      </c>
      <c r="D57" s="263" t="str">
        <f>IF(D56=0,"-",STDEV(D52:D55)/D56)</f>
        <v>-</v>
      </c>
      <c r="F57" s="262" t="s">
        <v>87</v>
      </c>
      <c r="G57" s="315"/>
      <c r="H57" s="316">
        <f>STDEV(H52:H55)/H56</f>
        <v>1.8730814673819326E-3</v>
      </c>
      <c r="I57" s="317">
        <f>STDEV(I52:I55)/I56</f>
        <v>1.8730814673819192E-3</v>
      </c>
      <c r="J57" s="318"/>
    </row>
    <row r="58" spans="1:10" ht="27" customHeight="1" thickBot="1" x14ac:dyDescent="0.45">
      <c r="C58" s="265" t="s">
        <v>20</v>
      </c>
      <c r="D58" s="266">
        <f>COUNT(D52:D55)</f>
        <v>3</v>
      </c>
      <c r="F58" s="265" t="s">
        <v>20</v>
      </c>
      <c r="G58" s="319">
        <f>COUNT(G52:G55)</f>
        <v>3</v>
      </c>
      <c r="H58" s="320">
        <f>COUNT(H52:H55)</f>
        <v>3</v>
      </c>
      <c r="I58" s="319">
        <f>COUNT(I52:I55)</f>
        <v>3</v>
      </c>
      <c r="J58" s="321"/>
    </row>
    <row r="59" spans="1:10" ht="18.75" x14ac:dyDescent="0.3">
      <c r="H59" s="274"/>
      <c r="J59" s="220"/>
    </row>
    <row r="60" spans="1:10" ht="18.75" x14ac:dyDescent="0.3">
      <c r="H60" s="274"/>
    </row>
    <row r="61" spans="1:10" ht="19.5" customHeight="1" thickBot="1" x14ac:dyDescent="0.35">
      <c r="A61" s="322"/>
      <c r="B61" s="322"/>
      <c r="C61" s="323"/>
      <c r="D61" s="323"/>
      <c r="E61" s="323"/>
      <c r="F61" s="323"/>
      <c r="G61" s="323"/>
      <c r="H61" s="323"/>
    </row>
    <row r="62" spans="1:10" ht="18.75" x14ac:dyDescent="0.3">
      <c r="B62" s="492" t="s">
        <v>26</v>
      </c>
      <c r="C62" s="492"/>
      <c r="E62" s="324" t="s">
        <v>27</v>
      </c>
      <c r="F62" s="325"/>
      <c r="G62" s="492" t="s">
        <v>28</v>
      </c>
      <c r="H62" s="492"/>
    </row>
    <row r="63" spans="1:10" ht="83.25" customHeight="1" x14ac:dyDescent="0.3">
      <c r="A63" s="326" t="s">
        <v>29</v>
      </c>
      <c r="B63" s="327"/>
      <c r="C63" s="327"/>
      <c r="E63" s="328"/>
      <c r="F63" s="218"/>
      <c r="G63" s="328"/>
      <c r="H63" s="328"/>
    </row>
    <row r="64" spans="1:10" ht="84" customHeight="1" x14ac:dyDescent="0.3">
      <c r="A64" s="326" t="s">
        <v>30</v>
      </c>
      <c r="B64" s="329"/>
      <c r="C64" s="329"/>
      <c r="E64" s="330"/>
      <c r="F64" s="218"/>
      <c r="G64" s="331"/>
      <c r="H64" s="331"/>
    </row>
    <row r="65" spans="1:9" ht="18.75" x14ac:dyDescent="0.3">
      <c r="A65" s="274"/>
      <c r="B65" s="274"/>
      <c r="C65" s="274"/>
      <c r="D65" s="274"/>
      <c r="E65" s="274"/>
      <c r="F65" s="332"/>
      <c r="G65" s="274"/>
      <c r="H65" s="274"/>
      <c r="I65" s="220"/>
    </row>
    <row r="66" spans="1:9" ht="18.75" x14ac:dyDescent="0.3">
      <c r="A66" s="274"/>
      <c r="B66" s="274"/>
      <c r="C66" s="274"/>
      <c r="D66" s="274"/>
      <c r="E66" s="274"/>
      <c r="F66" s="332"/>
      <c r="G66" s="274"/>
      <c r="H66" s="274"/>
      <c r="I66" s="220"/>
    </row>
    <row r="67" spans="1:9" ht="18.75" x14ac:dyDescent="0.3">
      <c r="A67" s="274"/>
      <c r="B67" s="274"/>
      <c r="C67" s="274"/>
      <c r="D67" s="274"/>
      <c r="E67" s="274"/>
      <c r="F67" s="332"/>
      <c r="G67" s="274"/>
      <c r="H67" s="274"/>
      <c r="I67" s="220"/>
    </row>
    <row r="68" spans="1:9" ht="18.75" x14ac:dyDescent="0.3">
      <c r="A68" s="274"/>
      <c r="B68" s="274"/>
      <c r="C68" s="274"/>
      <c r="D68" s="274"/>
      <c r="E68" s="274"/>
      <c r="F68" s="332"/>
      <c r="G68" s="274"/>
      <c r="H68" s="274"/>
      <c r="I68" s="220"/>
    </row>
    <row r="69" spans="1:9" ht="18.75" x14ac:dyDescent="0.3">
      <c r="A69" s="274"/>
      <c r="B69" s="274"/>
      <c r="C69" s="274"/>
      <c r="D69" s="274"/>
      <c r="E69" s="274"/>
      <c r="F69" s="332"/>
      <c r="G69" s="274"/>
      <c r="H69" s="274"/>
      <c r="I69" s="220"/>
    </row>
    <row r="70" spans="1:9" ht="18.75" x14ac:dyDescent="0.3">
      <c r="A70" s="274"/>
      <c r="B70" s="274"/>
      <c r="C70" s="274"/>
      <c r="D70" s="274"/>
      <c r="E70" s="274"/>
      <c r="F70" s="332"/>
      <c r="G70" s="274"/>
      <c r="H70" s="274"/>
      <c r="I70" s="220"/>
    </row>
    <row r="71" spans="1:9" ht="18.75" x14ac:dyDescent="0.3">
      <c r="A71" s="274"/>
      <c r="B71" s="274"/>
      <c r="C71" s="274"/>
      <c r="D71" s="274"/>
      <c r="E71" s="274"/>
      <c r="F71" s="332"/>
      <c r="G71" s="274"/>
      <c r="H71" s="274"/>
      <c r="I71" s="220"/>
    </row>
    <row r="72" spans="1:9" ht="18.75" x14ac:dyDescent="0.3">
      <c r="A72" s="274"/>
      <c r="B72" s="274"/>
      <c r="C72" s="274"/>
      <c r="D72" s="274"/>
      <c r="E72" s="274"/>
      <c r="F72" s="332"/>
      <c r="G72" s="274"/>
      <c r="H72" s="274"/>
      <c r="I72" s="220"/>
    </row>
    <row r="73" spans="1:9" ht="18.75" x14ac:dyDescent="0.3">
      <c r="A73" s="274"/>
      <c r="B73" s="274"/>
      <c r="C73" s="274"/>
      <c r="D73" s="274"/>
      <c r="E73" s="274"/>
      <c r="F73" s="332"/>
      <c r="G73" s="274"/>
      <c r="H73" s="274"/>
      <c r="I73" s="220"/>
    </row>
    <row r="250" spans="1:1" x14ac:dyDescent="0.3">
      <c r="A250" s="204">
        <v>0</v>
      </c>
    </row>
  </sheetData>
  <sheetProtection password="F258" sheet="1" objects="1" scenarios="1"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Layout" topLeftCell="A54" zoomScale="41" zoomScaleNormal="75" zoomScalePageLayoutView="41" workbookViewId="0">
      <selection activeCell="D62" sqref="D62"/>
    </sheetView>
  </sheetViews>
  <sheetFormatPr defaultRowHeight="18.75" x14ac:dyDescent="0.3"/>
  <cols>
    <col min="1" max="1" width="42.85546875" style="334" customWidth="1"/>
    <col min="2" max="2" width="34.85546875" style="334" customWidth="1"/>
    <col min="3" max="3" width="33.28515625" style="334" customWidth="1"/>
    <col min="4" max="4" width="30.5703125" style="334" customWidth="1"/>
    <col min="5" max="5" width="33.5703125" style="334" customWidth="1"/>
    <col min="6" max="6" width="39.85546875" style="334" customWidth="1"/>
    <col min="7" max="7" width="31.7109375" style="334" customWidth="1"/>
    <col min="8" max="8" width="31.140625" style="334" customWidth="1"/>
    <col min="9" max="9" width="32.28515625" style="333" customWidth="1"/>
    <col min="10" max="10" width="22.28515625" style="333" customWidth="1"/>
    <col min="11" max="11" width="19.5703125" style="333" customWidth="1"/>
    <col min="12" max="12" width="21.140625" style="333" customWidth="1"/>
    <col min="13" max="13" width="9.140625" style="333" customWidth="1"/>
    <col min="14" max="16384" width="9.140625" style="444"/>
  </cols>
  <sheetData>
    <row r="1" spans="1:9" ht="15" x14ac:dyDescent="0.3">
      <c r="A1" s="493" t="s">
        <v>117</v>
      </c>
      <c r="B1" s="493"/>
      <c r="C1" s="493"/>
      <c r="D1" s="493"/>
      <c r="E1" s="493"/>
      <c r="F1" s="493"/>
      <c r="G1" s="493"/>
      <c r="H1" s="493"/>
      <c r="I1" s="493"/>
    </row>
    <row r="2" spans="1:9" ht="15" x14ac:dyDescent="0.3">
      <c r="A2" s="493"/>
      <c r="B2" s="493"/>
      <c r="C2" s="493"/>
      <c r="D2" s="493"/>
      <c r="E2" s="493"/>
      <c r="F2" s="493"/>
      <c r="G2" s="493"/>
      <c r="H2" s="493"/>
      <c r="I2" s="493"/>
    </row>
    <row r="3" spans="1:9" ht="15" x14ac:dyDescent="0.3">
      <c r="A3" s="493"/>
      <c r="B3" s="493"/>
      <c r="C3" s="493"/>
      <c r="D3" s="493"/>
      <c r="E3" s="493"/>
      <c r="F3" s="493"/>
      <c r="G3" s="493"/>
      <c r="H3" s="493"/>
      <c r="I3" s="493"/>
    </row>
    <row r="4" spans="1:9" ht="15" x14ac:dyDescent="0.3">
      <c r="A4" s="493"/>
      <c r="B4" s="493"/>
      <c r="C4" s="493"/>
      <c r="D4" s="493"/>
      <c r="E4" s="493"/>
      <c r="F4" s="493"/>
      <c r="G4" s="493"/>
      <c r="H4" s="493"/>
      <c r="I4" s="493"/>
    </row>
    <row r="5" spans="1:9" ht="15" x14ac:dyDescent="0.3">
      <c r="A5" s="493"/>
      <c r="B5" s="493"/>
      <c r="C5" s="493"/>
      <c r="D5" s="493"/>
      <c r="E5" s="493"/>
      <c r="F5" s="493"/>
      <c r="G5" s="493"/>
      <c r="H5" s="493"/>
      <c r="I5" s="493"/>
    </row>
    <row r="6" spans="1:9" ht="15" x14ac:dyDescent="0.3">
      <c r="A6" s="493"/>
      <c r="B6" s="493"/>
      <c r="C6" s="493"/>
      <c r="D6" s="493"/>
      <c r="E6" s="493"/>
      <c r="F6" s="493"/>
      <c r="G6" s="493"/>
      <c r="H6" s="493"/>
      <c r="I6" s="493"/>
    </row>
    <row r="7" spans="1:9" ht="15" x14ac:dyDescent="0.3">
      <c r="A7" s="493"/>
      <c r="B7" s="493"/>
      <c r="C7" s="493"/>
      <c r="D7" s="493"/>
      <c r="E7" s="493"/>
      <c r="F7" s="493"/>
      <c r="G7" s="493"/>
      <c r="H7" s="493"/>
      <c r="I7" s="493"/>
    </row>
    <row r="8" spans="1:9" ht="15" x14ac:dyDescent="0.3">
      <c r="A8" s="494" t="s">
        <v>50</v>
      </c>
      <c r="B8" s="494"/>
      <c r="C8" s="494"/>
      <c r="D8" s="494"/>
      <c r="E8" s="494"/>
      <c r="F8" s="494"/>
      <c r="G8" s="494"/>
      <c r="H8" s="494"/>
      <c r="I8" s="494"/>
    </row>
    <row r="9" spans="1:9" ht="15" x14ac:dyDescent="0.3">
      <c r="A9" s="494"/>
      <c r="B9" s="494"/>
      <c r="C9" s="494"/>
      <c r="D9" s="494"/>
      <c r="E9" s="494"/>
      <c r="F9" s="494"/>
      <c r="G9" s="494"/>
      <c r="H9" s="494"/>
      <c r="I9" s="494"/>
    </row>
    <row r="10" spans="1:9" ht="15" x14ac:dyDescent="0.3">
      <c r="A10" s="494"/>
      <c r="B10" s="494"/>
      <c r="C10" s="494"/>
      <c r="D10" s="494"/>
      <c r="E10" s="494"/>
      <c r="F10" s="494"/>
      <c r="G10" s="494"/>
      <c r="H10" s="494"/>
      <c r="I10" s="494"/>
    </row>
    <row r="11" spans="1:9" ht="15" x14ac:dyDescent="0.3">
      <c r="A11" s="494"/>
      <c r="B11" s="494"/>
      <c r="C11" s="494"/>
      <c r="D11" s="494"/>
      <c r="E11" s="494"/>
      <c r="F11" s="494"/>
      <c r="G11" s="494"/>
      <c r="H11" s="494"/>
      <c r="I11" s="494"/>
    </row>
    <row r="12" spans="1:9" ht="15" x14ac:dyDescent="0.3">
      <c r="A12" s="494"/>
      <c r="B12" s="494"/>
      <c r="C12" s="494"/>
      <c r="D12" s="494"/>
      <c r="E12" s="494"/>
      <c r="F12" s="494"/>
      <c r="G12" s="494"/>
      <c r="H12" s="494"/>
      <c r="I12" s="494"/>
    </row>
    <row r="13" spans="1:9" ht="15" x14ac:dyDescent="0.3">
      <c r="A13" s="494"/>
      <c r="B13" s="494"/>
      <c r="C13" s="494"/>
      <c r="D13" s="494"/>
      <c r="E13" s="494"/>
      <c r="F13" s="494"/>
      <c r="G13" s="494"/>
      <c r="H13" s="494"/>
      <c r="I13" s="494"/>
    </row>
    <row r="14" spans="1:9" ht="15" x14ac:dyDescent="0.3">
      <c r="A14" s="494"/>
      <c r="B14" s="494"/>
      <c r="C14" s="494"/>
      <c r="D14" s="494"/>
      <c r="E14" s="494"/>
      <c r="F14" s="494"/>
      <c r="G14" s="494"/>
      <c r="H14" s="494"/>
      <c r="I14" s="494"/>
    </row>
    <row r="15" spans="1:9" ht="19.5" customHeight="1" thickBot="1" x14ac:dyDescent="0.35"/>
    <row r="16" spans="1:9" ht="19.5" customHeight="1" thickBot="1" x14ac:dyDescent="0.35">
      <c r="A16" s="495" t="s">
        <v>31</v>
      </c>
      <c r="B16" s="496"/>
      <c r="C16" s="496"/>
      <c r="D16" s="496"/>
      <c r="E16" s="496"/>
      <c r="F16" s="496"/>
      <c r="G16" s="496"/>
      <c r="H16" s="497"/>
    </row>
    <row r="17" spans="1:8" x14ac:dyDescent="0.3">
      <c r="A17" s="498" t="s">
        <v>51</v>
      </c>
      <c r="B17" s="498"/>
      <c r="C17" s="498"/>
      <c r="D17" s="498"/>
      <c r="E17" s="498"/>
      <c r="F17" s="498"/>
      <c r="G17" s="498"/>
      <c r="H17" s="498"/>
    </row>
    <row r="18" spans="1:8" ht="26.25" customHeight="1" x14ac:dyDescent="0.3">
      <c r="A18" s="335" t="s">
        <v>33</v>
      </c>
      <c r="B18" s="336" t="s">
        <v>118</v>
      </c>
      <c r="C18" s="337"/>
      <c r="D18" s="337"/>
      <c r="E18" s="337"/>
    </row>
    <row r="19" spans="1:8" ht="26.25" customHeight="1" x14ac:dyDescent="0.3">
      <c r="A19" s="335" t="s">
        <v>34</v>
      </c>
      <c r="B19" s="338" t="s">
        <v>7</v>
      </c>
      <c r="C19" s="339">
        <v>26</v>
      </c>
    </row>
    <row r="20" spans="1:8" ht="26.25" customHeight="1" x14ac:dyDescent="0.3">
      <c r="A20" s="335" t="s">
        <v>35</v>
      </c>
      <c r="B20" s="338" t="s">
        <v>151</v>
      </c>
    </row>
    <row r="21" spans="1:8" ht="26.25" customHeight="1" x14ac:dyDescent="0.3">
      <c r="A21" s="335" t="s">
        <v>37</v>
      </c>
      <c r="B21" s="340" t="s">
        <v>11</v>
      </c>
    </row>
    <row r="22" spans="1:8" ht="26.25" customHeight="1" x14ac:dyDescent="0.3">
      <c r="A22" s="335" t="s">
        <v>38</v>
      </c>
      <c r="B22" s="340">
        <v>43090</v>
      </c>
    </row>
    <row r="23" spans="1:8" x14ac:dyDescent="0.3">
      <c r="A23" s="335"/>
      <c r="B23" s="341"/>
    </row>
    <row r="24" spans="1:8" x14ac:dyDescent="0.3">
      <c r="A24" s="342" t="s">
        <v>1</v>
      </c>
      <c r="B24" s="343" t="s">
        <v>152</v>
      </c>
    </row>
    <row r="25" spans="1:8" x14ac:dyDescent="0.3">
      <c r="A25" s="342"/>
      <c r="B25" s="343"/>
    </row>
    <row r="26" spans="1:8" ht="26.25" customHeight="1" x14ac:dyDescent="0.4">
      <c r="A26" s="344" t="s">
        <v>153</v>
      </c>
      <c r="B26" s="345" t="s">
        <v>154</v>
      </c>
      <c r="C26" s="346"/>
      <c r="D26" s="339"/>
      <c r="E26" s="339"/>
      <c r="F26" s="339"/>
    </row>
    <row r="27" spans="1:8" ht="26.25" customHeight="1" x14ac:dyDescent="0.4">
      <c r="A27" s="347" t="s">
        <v>4</v>
      </c>
      <c r="B27" s="348" t="s">
        <v>155</v>
      </c>
      <c r="C27" s="346"/>
      <c r="D27" s="349"/>
      <c r="E27" s="349"/>
      <c r="F27" s="349"/>
      <c r="G27" s="349"/>
    </row>
    <row r="28" spans="1:8" ht="26.25" customHeight="1" x14ac:dyDescent="0.4">
      <c r="A28" s="350" t="s">
        <v>122</v>
      </c>
      <c r="B28" s="346">
        <v>105.99</v>
      </c>
      <c r="C28" s="351"/>
      <c r="D28" s="352"/>
      <c r="E28" s="352"/>
      <c r="F28" s="352"/>
      <c r="G28" s="352"/>
    </row>
    <row r="29" spans="1:8" ht="26.25" customHeight="1" x14ac:dyDescent="0.4">
      <c r="A29" s="353" t="s">
        <v>123</v>
      </c>
      <c r="B29" s="354">
        <v>0.5</v>
      </c>
      <c r="C29" s="351"/>
      <c r="D29" s="352"/>
      <c r="E29" s="352"/>
      <c r="F29" s="352"/>
      <c r="G29" s="352"/>
    </row>
    <row r="30" spans="1:8" x14ac:dyDescent="0.3">
      <c r="A30" s="353"/>
      <c r="E30" s="352"/>
      <c r="F30" s="352"/>
      <c r="G30" s="352"/>
    </row>
    <row r="31" spans="1:8" ht="26.25" customHeight="1" x14ac:dyDescent="0.4">
      <c r="A31" s="355" t="s">
        <v>124</v>
      </c>
      <c r="B31" s="346">
        <v>2</v>
      </c>
      <c r="C31" s="356" t="s">
        <v>125</v>
      </c>
      <c r="D31" s="346">
        <v>1</v>
      </c>
      <c r="E31" s="349"/>
      <c r="F31" s="339"/>
    </row>
    <row r="32" spans="1:8" ht="19.5" customHeight="1" thickBot="1" x14ac:dyDescent="0.35">
      <c r="A32" s="353"/>
      <c r="B32" s="357"/>
      <c r="C32" s="339"/>
      <c r="D32" s="339"/>
      <c r="E32" s="339"/>
      <c r="F32" s="339"/>
    </row>
    <row r="33" spans="1:8" ht="19.5" customHeight="1" thickBot="1" x14ac:dyDescent="0.35">
      <c r="A33" s="358" t="s">
        <v>126</v>
      </c>
      <c r="B33" s="358" t="s">
        <v>127</v>
      </c>
      <c r="C33" s="359" t="s">
        <v>128</v>
      </c>
      <c r="D33" s="358" t="s">
        <v>129</v>
      </c>
      <c r="E33" s="360" t="s">
        <v>130</v>
      </c>
      <c r="F33" s="360" t="s">
        <v>131</v>
      </c>
      <c r="G33" s="358" t="s">
        <v>132</v>
      </c>
    </row>
    <row r="34" spans="1:8" ht="26.25" customHeight="1" x14ac:dyDescent="0.4">
      <c r="A34" s="361" t="s">
        <v>133</v>
      </c>
      <c r="B34" s="362">
        <v>100.38</v>
      </c>
      <c r="C34" s="363">
        <f>IF(ISBLANK(B34), "-",B34/$B$28*($B$31/$D$31))</f>
        <v>1.8941409566940277</v>
      </c>
      <c r="D34" s="364">
        <v>3.8</v>
      </c>
      <c r="E34" s="365">
        <f>IF(ISBLANK(B34), "-",C34/D34)</f>
        <v>0.49845814649842834</v>
      </c>
      <c r="F34" s="366">
        <f>IF(ISBLANK(B34), "-",(E34-$B$29)/$B$29)</f>
        <v>-3.08370700314331E-3</v>
      </c>
      <c r="G34" s="367">
        <f>IF(ISBLANK(B34),"-",E34/$B$29)</f>
        <v>0.99691629299685669</v>
      </c>
    </row>
    <row r="35" spans="1:8" ht="26.25" customHeight="1" x14ac:dyDescent="0.4">
      <c r="A35" s="368" t="s">
        <v>134</v>
      </c>
      <c r="B35" s="369">
        <v>100.34</v>
      </c>
      <c r="C35" s="370">
        <f>IF(ISBLANK(B35), "-",B35/$B$28*($B$31/$D$31))</f>
        <v>1.893386168506463</v>
      </c>
      <c r="D35" s="371">
        <v>3.8</v>
      </c>
      <c r="E35" s="372">
        <f>IF(ISBLANK(B35), "-",C35/D35)</f>
        <v>0.4982595180280166</v>
      </c>
      <c r="F35" s="373">
        <f>IF(ISBLANK(B35), "-",(E35-$B$29)/$B$29)</f>
        <v>-3.4809639439667972E-3</v>
      </c>
      <c r="G35" s="374">
        <f>IF(ISBLANK(B35),"-",E35/$B$29)</f>
        <v>0.9965190360560332</v>
      </c>
    </row>
    <row r="36" spans="1:8" ht="26.25" customHeight="1" x14ac:dyDescent="0.4">
      <c r="A36" s="368" t="s">
        <v>135</v>
      </c>
      <c r="B36" s="369">
        <v>100.15</v>
      </c>
      <c r="C36" s="370">
        <f>IF(ISBLANK(B36), "-",B36/$B$28*($B$31/$D$31))</f>
        <v>1.8898009246155301</v>
      </c>
      <c r="D36" s="371">
        <v>3.8</v>
      </c>
      <c r="E36" s="372">
        <f>IF(ISBLANK(B36), "-",C36/D36)</f>
        <v>0.49731603279356057</v>
      </c>
      <c r="F36" s="373">
        <f>IF(ISBLANK(B36), "-",(E36-$B$29)/$B$29)</f>
        <v>-5.3679344128788609E-3</v>
      </c>
      <c r="G36" s="374">
        <f>IF(ISBLANK(B36),"-",E36/$B$29)</f>
        <v>0.99463206558712114</v>
      </c>
    </row>
    <row r="37" spans="1:8" ht="27" customHeight="1" thickBot="1" x14ac:dyDescent="0.45">
      <c r="A37" s="375" t="s">
        <v>136</v>
      </c>
      <c r="B37" s="376"/>
      <c r="C37" s="377" t="str">
        <f>IF(ISBLANK(B37), "-",B37/$B$28*($B$31/$D$31))</f>
        <v>-</v>
      </c>
      <c r="D37" s="378"/>
      <c r="E37" s="379" t="str">
        <f>IF(ISBLANK(B37), "-",C37/D37)</f>
        <v>-</v>
      </c>
      <c r="F37" s="380" t="str">
        <f>IF(ISBLANK(B37), "-",(E37-$B$29)/$B$29)</f>
        <v>-</v>
      </c>
      <c r="G37" s="381" t="str">
        <f>IF(ISBLANK(B37),"-",E37/$B$29)</f>
        <v>-</v>
      </c>
    </row>
    <row r="38" spans="1:8" ht="19.5" customHeight="1" thickBot="1" x14ac:dyDescent="0.35">
      <c r="A38" s="349"/>
      <c r="B38" s="349"/>
      <c r="C38" s="349"/>
      <c r="D38" s="382" t="s">
        <v>137</v>
      </c>
      <c r="E38" s="383">
        <f>AVERAGE(E34:E37)</f>
        <v>0.49801123244000184</v>
      </c>
      <c r="F38" s="384">
        <f>AVERAGE(F34:F37)</f>
        <v>-3.9775351199963227E-3</v>
      </c>
      <c r="G38" s="385">
        <f>AVERAGE(G34:G37)</f>
        <v>0.99602246488000368</v>
      </c>
    </row>
    <row r="39" spans="1:8" x14ac:dyDescent="0.3">
      <c r="A39" s="349"/>
      <c r="B39" s="386"/>
      <c r="C39" s="387"/>
      <c r="D39" s="388" t="s">
        <v>87</v>
      </c>
      <c r="E39" s="389">
        <f>STDEV(E34:E37)/E38</f>
        <v>1.2252672975813623E-3</v>
      </c>
      <c r="F39" s="390"/>
      <c r="G39" s="349"/>
    </row>
    <row r="40" spans="1:8" ht="19.5" customHeight="1" thickBot="1" x14ac:dyDescent="0.35">
      <c r="A40" s="349"/>
      <c r="B40" s="386"/>
      <c r="C40" s="387"/>
      <c r="D40" s="391" t="s">
        <v>20</v>
      </c>
      <c r="E40" s="392">
        <f>COUNT(E34:E37)</f>
        <v>3</v>
      </c>
      <c r="F40" s="393"/>
      <c r="G40" s="349"/>
    </row>
    <row r="41" spans="1:8" x14ac:dyDescent="0.3">
      <c r="A41" s="342"/>
      <c r="B41" s="343"/>
    </row>
    <row r="42" spans="1:8" x14ac:dyDescent="0.3">
      <c r="A42" s="342"/>
      <c r="B42" s="343"/>
    </row>
    <row r="44" spans="1:8" x14ac:dyDescent="0.3">
      <c r="A44" s="394" t="s">
        <v>1</v>
      </c>
      <c r="B44" s="343" t="s">
        <v>88</v>
      </c>
    </row>
    <row r="45" spans="1:8" x14ac:dyDescent="0.3">
      <c r="A45" s="353" t="s">
        <v>138</v>
      </c>
      <c r="B45" s="395">
        <v>1</v>
      </c>
      <c r="C45" s="339" t="s">
        <v>139</v>
      </c>
      <c r="D45" s="395">
        <v>50</v>
      </c>
      <c r="E45" s="339" t="str">
        <f>B20</f>
        <v>SODIUM BICARBONATE</v>
      </c>
      <c r="H45" s="396"/>
    </row>
    <row r="46" spans="1:8" x14ac:dyDescent="0.3">
      <c r="A46" s="353"/>
      <c r="H46" s="396"/>
    </row>
    <row r="47" spans="1:8" ht="26.25" customHeight="1" x14ac:dyDescent="0.4">
      <c r="A47" s="353" t="s">
        <v>156</v>
      </c>
      <c r="B47" s="397" t="str">
        <f>B26</f>
        <v>0.5M HCL</v>
      </c>
      <c r="C47" s="393" t="s">
        <v>157</v>
      </c>
      <c r="D47" s="346">
        <v>42</v>
      </c>
      <c r="E47" s="349" t="str">
        <f>B20</f>
        <v>SODIUM BICARBONATE</v>
      </c>
      <c r="H47" s="396"/>
    </row>
    <row r="48" spans="1:8" ht="19.5" customHeight="1" thickBot="1" x14ac:dyDescent="0.35">
      <c r="A48" s="349"/>
      <c r="B48" s="349"/>
      <c r="C48" s="349"/>
      <c r="D48" s="349"/>
      <c r="H48" s="396"/>
    </row>
    <row r="49" spans="1:10" ht="19.5" customHeight="1" thickBot="1" x14ac:dyDescent="0.35">
      <c r="C49" s="349"/>
      <c r="D49" s="349"/>
      <c r="E49" s="349"/>
      <c r="F49" s="349"/>
      <c r="G49" s="499" t="s">
        <v>141</v>
      </c>
      <c r="H49" s="500"/>
      <c r="J49" s="398"/>
    </row>
    <row r="50" spans="1:10" ht="19.5" customHeight="1" thickBot="1" x14ac:dyDescent="0.35">
      <c r="A50" s="399" t="s">
        <v>142</v>
      </c>
      <c r="B50" s="358" t="s">
        <v>158</v>
      </c>
      <c r="C50" s="400" t="s">
        <v>144</v>
      </c>
      <c r="D50" s="358" t="s">
        <v>145</v>
      </c>
      <c r="E50" s="358" t="s">
        <v>146</v>
      </c>
      <c r="F50" s="400" t="s">
        <v>147</v>
      </c>
      <c r="G50" s="358" t="s">
        <v>148</v>
      </c>
      <c r="H50" s="358" t="s">
        <v>149</v>
      </c>
      <c r="I50" s="401" t="s">
        <v>150</v>
      </c>
      <c r="J50" s="402"/>
    </row>
    <row r="51" spans="1:10" ht="26.25" customHeight="1" x14ac:dyDescent="0.4">
      <c r="A51" s="403" t="s">
        <v>133</v>
      </c>
      <c r="B51" s="362">
        <v>2</v>
      </c>
      <c r="C51" s="362">
        <v>2.4</v>
      </c>
      <c r="D51" s="404">
        <v>0</v>
      </c>
      <c r="E51" s="405">
        <f>IF(ISBLANK(B51),"-",C51-$D$55)</f>
        <v>2.4</v>
      </c>
      <c r="F51" s="406">
        <f>IF(ISBLANK(B51), "-",E51*$G$38)</f>
        <v>2.3904539157120088</v>
      </c>
      <c r="G51" s="407">
        <f>IF(ISBLANK(B51),"-",F51*$D$47)</f>
        <v>100.39906445990437</v>
      </c>
      <c r="H51" s="408">
        <f>IF(ISBLANK(B51),"-",G51*$B$45/B51)</f>
        <v>50.199532229952183</v>
      </c>
      <c r="I51" s="409">
        <f>IF(ISBLANK(B51),"-",H51/$D$45)</f>
        <v>1.0039906445990436</v>
      </c>
      <c r="J51" s="397"/>
    </row>
    <row r="52" spans="1:10" ht="26.25" customHeight="1" x14ac:dyDescent="0.4">
      <c r="A52" s="410" t="s">
        <v>134</v>
      </c>
      <c r="B52" s="369">
        <v>2</v>
      </c>
      <c r="C52" s="369">
        <v>2.4</v>
      </c>
      <c r="D52" s="411">
        <v>0</v>
      </c>
      <c r="E52" s="412">
        <f>IF(ISBLANK(B52),"-",C52-$D$55)</f>
        <v>2.4</v>
      </c>
      <c r="F52" s="413">
        <f>IF(ISBLANK(B52), "-",E52*$G$38)</f>
        <v>2.3904539157120088</v>
      </c>
      <c r="G52" s="414">
        <f>IF(ISBLANK(B52),"-",F52*$D$47)</f>
        <v>100.39906445990437</v>
      </c>
      <c r="H52" s="415">
        <f>IF(ISBLANK(B52),"-",G52*$B$45/B52)</f>
        <v>50.199532229952183</v>
      </c>
      <c r="I52" s="416">
        <f>IF(ISBLANK(B52),"-",H52/$D$45)</f>
        <v>1.0039906445990436</v>
      </c>
      <c r="J52" s="397"/>
    </row>
    <row r="53" spans="1:10" ht="26.25" customHeight="1" x14ac:dyDescent="0.4">
      <c r="A53" s="410" t="s">
        <v>135</v>
      </c>
      <c r="B53" s="369">
        <v>2</v>
      </c>
      <c r="C53" s="369">
        <v>2.4</v>
      </c>
      <c r="D53" s="411">
        <v>0</v>
      </c>
      <c r="E53" s="412">
        <f>IF(ISBLANK(B53),"-",C53-$D$55)</f>
        <v>2.4</v>
      </c>
      <c r="F53" s="413">
        <f>IF(ISBLANK(B53), "-",E53*$G$38)</f>
        <v>2.3904539157120088</v>
      </c>
      <c r="G53" s="414">
        <f>IF(ISBLANK(B53),"-",F53*$D$47)</f>
        <v>100.39906445990437</v>
      </c>
      <c r="H53" s="415">
        <f>IF(ISBLANK(B53),"-",G53*$B$45/B53)</f>
        <v>50.199532229952183</v>
      </c>
      <c r="I53" s="416">
        <f>IF(ISBLANK(B53),"-",H53/$D$45)</f>
        <v>1.0039906445990436</v>
      </c>
      <c r="J53" s="397"/>
    </row>
    <row r="54" spans="1:10" ht="27" customHeight="1" thickBot="1" x14ac:dyDescent="0.45">
      <c r="A54" s="417" t="s">
        <v>136</v>
      </c>
      <c r="B54" s="376"/>
      <c r="C54" s="376"/>
      <c r="D54" s="418"/>
      <c r="E54" s="419" t="str">
        <f>IF(ISBLANK(B54),"-",C54-$D$55)</f>
        <v>-</v>
      </c>
      <c r="F54" s="420" t="str">
        <f>IF(ISBLANK(B54), "-",E54*$G$38)</f>
        <v>-</v>
      </c>
      <c r="G54" s="421" t="str">
        <f>IF(ISBLANK(B54),"-",F54*$D$47)</f>
        <v>-</v>
      </c>
      <c r="H54" s="422" t="str">
        <f>IF(ISBLANK(B54),"-",G54*$B$45/B54)</f>
        <v>-</v>
      </c>
      <c r="I54" s="423" t="str">
        <f>IF(ISBLANK(B54),"-",H54/$D$45)</f>
        <v>-</v>
      </c>
      <c r="J54" s="393"/>
    </row>
    <row r="55" spans="1:10" ht="26.25" customHeight="1" x14ac:dyDescent="0.4">
      <c r="C55" s="424" t="s">
        <v>137</v>
      </c>
      <c r="D55" s="425">
        <f>AVERAGE(D51:D54)</f>
        <v>0</v>
      </c>
      <c r="F55" s="424" t="s">
        <v>137</v>
      </c>
      <c r="G55" s="426">
        <f>AVERAGE(G51:G54)</f>
        <v>100.39906445990437</v>
      </c>
      <c r="H55" s="426">
        <f>AVERAGE(H51:H54)</f>
        <v>50.199532229952183</v>
      </c>
      <c r="I55" s="427">
        <f>AVERAGE(I51:I54)</f>
        <v>1.0039906445990436</v>
      </c>
      <c r="J55" s="428"/>
    </row>
    <row r="56" spans="1:10" ht="26.25" customHeight="1" x14ac:dyDescent="0.4">
      <c r="C56" s="388" t="s">
        <v>87</v>
      </c>
      <c r="D56" s="389" t="str">
        <f>IF(D55=0,"-",STDEV(D51:D54)/D55)</f>
        <v>-</v>
      </c>
      <c r="F56" s="388" t="s">
        <v>87</v>
      </c>
      <c r="G56" s="429"/>
      <c r="H56" s="430">
        <f>STDEV(H51:H54)/H55</f>
        <v>0</v>
      </c>
      <c r="I56" s="430">
        <f>STDEV(I51:I54)/I55</f>
        <v>0</v>
      </c>
      <c r="J56" s="431"/>
    </row>
    <row r="57" spans="1:10" ht="27" customHeight="1" thickBot="1" x14ac:dyDescent="0.45">
      <c r="B57" s="334" t="str">
        <f>[1]Uniformity!C46</f>
        <v>% Deviation from mean</v>
      </c>
      <c r="C57" s="391" t="s">
        <v>20</v>
      </c>
      <c r="D57" s="392">
        <f>COUNT(D51:D54)</f>
        <v>3</v>
      </c>
      <c r="F57" s="391" t="s">
        <v>20</v>
      </c>
      <c r="G57" s="432">
        <f>COUNT(G51:G54)</f>
        <v>3</v>
      </c>
      <c r="H57" s="432">
        <f>COUNT(H51:H54)</f>
        <v>3</v>
      </c>
      <c r="I57" s="432">
        <f>COUNT(I51:I54)</f>
        <v>3</v>
      </c>
      <c r="J57" s="433"/>
    </row>
    <row r="58" spans="1:10" x14ac:dyDescent="0.3">
      <c r="H58" s="396"/>
      <c r="I58" s="397"/>
      <c r="J58" s="349"/>
    </row>
    <row r="59" spans="1:10" x14ac:dyDescent="0.3">
      <c r="H59" s="396"/>
    </row>
    <row r="60" spans="1:10" ht="19.5" customHeight="1" thickBot="1" x14ac:dyDescent="0.35">
      <c r="A60" s="434"/>
      <c r="B60" s="434"/>
      <c r="C60" s="435"/>
      <c r="D60" s="435"/>
      <c r="E60" s="435"/>
      <c r="F60" s="435"/>
      <c r="G60" s="435"/>
      <c r="H60" s="435"/>
    </row>
    <row r="61" spans="1:10" x14ac:dyDescent="0.3">
      <c r="B61" s="501" t="s">
        <v>26</v>
      </c>
      <c r="C61" s="501"/>
      <c r="E61" s="436" t="s">
        <v>27</v>
      </c>
      <c r="F61" s="437"/>
      <c r="G61" s="501" t="s">
        <v>28</v>
      </c>
      <c r="H61" s="501"/>
    </row>
    <row r="62" spans="1:10" ht="83.25" customHeight="1" x14ac:dyDescent="0.3">
      <c r="A62" s="344" t="s">
        <v>29</v>
      </c>
      <c r="B62" s="438"/>
      <c r="C62" s="438"/>
      <c r="E62" s="439"/>
      <c r="F62" s="339"/>
      <c r="G62" s="439"/>
      <c r="H62" s="439"/>
    </row>
    <row r="63" spans="1:10" ht="84" customHeight="1" x14ac:dyDescent="0.3">
      <c r="A63" s="344" t="s">
        <v>30</v>
      </c>
      <c r="B63" s="440"/>
      <c r="C63" s="440"/>
      <c r="E63" s="441"/>
      <c r="F63" s="339"/>
      <c r="G63" s="442"/>
      <c r="H63" s="442"/>
    </row>
    <row r="64" spans="1:10" x14ac:dyDescent="0.3">
      <c r="A64" s="396"/>
      <c r="B64" s="396"/>
      <c r="C64" s="396"/>
      <c r="D64" s="396"/>
      <c r="E64" s="396"/>
      <c r="F64" s="443"/>
      <c r="G64" s="396"/>
      <c r="H64" s="396"/>
      <c r="I64" s="349"/>
    </row>
    <row r="65" spans="1:9" x14ac:dyDescent="0.3">
      <c r="A65" s="396"/>
      <c r="B65" s="396"/>
      <c r="C65" s="396"/>
      <c r="D65" s="396"/>
      <c r="E65" s="396"/>
      <c r="F65" s="443"/>
      <c r="G65" s="396"/>
      <c r="H65" s="396"/>
      <c r="I65" s="349"/>
    </row>
    <row r="66" spans="1:9" x14ac:dyDescent="0.3">
      <c r="A66" s="396"/>
      <c r="B66" s="396"/>
      <c r="C66" s="396"/>
      <c r="D66" s="396"/>
      <c r="E66" s="396"/>
      <c r="F66" s="443"/>
      <c r="G66" s="396"/>
      <c r="H66" s="396"/>
      <c r="I66" s="349"/>
    </row>
    <row r="67" spans="1:9" x14ac:dyDescent="0.3">
      <c r="A67" s="396"/>
      <c r="B67" s="396"/>
      <c r="C67" s="396"/>
      <c r="D67" s="396"/>
      <c r="E67" s="396"/>
      <c r="F67" s="443"/>
      <c r="G67" s="396"/>
      <c r="H67" s="396"/>
      <c r="I67" s="349"/>
    </row>
    <row r="68" spans="1:9" x14ac:dyDescent="0.3">
      <c r="A68" s="396"/>
      <c r="B68" s="396"/>
      <c r="C68" s="396"/>
      <c r="D68" s="396"/>
      <c r="E68" s="396"/>
      <c r="F68" s="443"/>
      <c r="G68" s="396"/>
      <c r="H68" s="396"/>
      <c r="I68" s="349"/>
    </row>
    <row r="69" spans="1:9" x14ac:dyDescent="0.3">
      <c r="A69" s="396"/>
      <c r="B69" s="396"/>
      <c r="C69" s="396"/>
      <c r="D69" s="396"/>
      <c r="E69" s="396"/>
      <c r="F69" s="443"/>
      <c r="G69" s="396"/>
      <c r="H69" s="396"/>
      <c r="I69" s="349"/>
    </row>
    <row r="70" spans="1:9" x14ac:dyDescent="0.3">
      <c r="A70" s="396"/>
      <c r="B70" s="396"/>
      <c r="C70" s="396"/>
      <c r="D70" s="396"/>
      <c r="E70" s="396"/>
      <c r="F70" s="443"/>
      <c r="G70" s="396"/>
      <c r="H70" s="396"/>
      <c r="I70" s="349"/>
    </row>
    <row r="71" spans="1:9" x14ac:dyDescent="0.3">
      <c r="A71" s="396"/>
      <c r="B71" s="396"/>
      <c r="C71" s="396"/>
      <c r="D71" s="396"/>
      <c r="E71" s="396"/>
      <c r="F71" s="443"/>
      <c r="G71" s="396"/>
      <c r="H71" s="396"/>
      <c r="I71" s="349"/>
    </row>
    <row r="72" spans="1:9" x14ac:dyDescent="0.3">
      <c r="A72" s="396"/>
      <c r="B72" s="396"/>
      <c r="C72" s="396"/>
      <c r="D72" s="396"/>
      <c r="E72" s="396"/>
      <c r="F72" s="443"/>
      <c r="G72" s="396"/>
      <c r="H72" s="396"/>
      <c r="I72" s="349"/>
    </row>
    <row r="250" spans="1:1" x14ac:dyDescent="0.3">
      <c r="A250" s="334">
        <v>0</v>
      </c>
    </row>
  </sheetData>
  <sheetProtection password="F258" sheet="1" objects="1" scenarios="1" formatCells="0" formatColumn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Artesunate</vt:lpstr>
      <vt:lpstr>Uniformity</vt:lpstr>
      <vt:lpstr>Sodium Chloride</vt:lpstr>
      <vt:lpstr>Sodium Bicarbonate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2017-12-22T05:43:24Z</cp:lastPrinted>
  <dcterms:created xsi:type="dcterms:W3CDTF">2005-07-05T10:19:27Z</dcterms:created>
  <dcterms:modified xsi:type="dcterms:W3CDTF">2017-12-22T05:49:01Z</dcterms:modified>
</cp:coreProperties>
</file>