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15" windowWidth="21840" windowHeight="10680" activeTab="4"/>
  </bookViews>
  <sheets>
    <sheet name="SST Artemether" sheetId="1" r:id="rId1"/>
    <sheet name="SST Lumefantrine" sheetId="5" r:id="rId2"/>
    <sheet name="Uniformity" sheetId="2" r:id="rId3"/>
    <sheet name="Artemether" sheetId="3" r:id="rId4"/>
    <sheet name="Lumefantrine" sheetId="4" r:id="rId5"/>
  </sheets>
  <definedNames>
    <definedName name="_xlnm.Print_Area" localSheetId="3">Artemether!$A$1:$I$129</definedName>
    <definedName name="_xlnm.Print_Area" localSheetId="4">Lumefantrine!$A$1:$I$129</definedName>
    <definedName name="_xlnm.Print_Area" localSheetId="0">'SST Artemether'!$A$15:$G$61</definedName>
    <definedName name="_xlnm.Print_Area" localSheetId="1">'SST Lumefantrine'!$A$15:$G$61</definedName>
    <definedName name="_xlnm.Print_Area" localSheetId="2">Uniformity!$A$12:$H$54</definedName>
  </definedNames>
  <calcPr calcId="145621"/>
</workbook>
</file>

<file path=xl/calcChain.xml><?xml version="1.0" encoding="utf-8"?>
<calcChain xmlns="http://schemas.openxmlformats.org/spreadsheetml/2006/main">
  <c r="B21" i="5" l="1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 l="1"/>
  <c r="B116" i="4"/>
  <c r="D100" i="4" s="1"/>
  <c r="B98" i="4"/>
  <c r="F95" i="4"/>
  <c r="D95" i="4"/>
  <c r="B87" i="4"/>
  <c r="D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/>
  <c r="B87" i="3"/>
  <c r="D97" i="3" s="1"/>
  <c r="B83" i="3"/>
  <c r="C76" i="3"/>
  <c r="B68" i="3"/>
  <c r="C56" i="3"/>
  <c r="B55" i="3"/>
  <c r="B45" i="3"/>
  <c r="D48" i="3" s="1"/>
  <c r="F42" i="3"/>
  <c r="D42" i="3"/>
  <c r="B34" i="3"/>
  <c r="F44" i="3" s="1"/>
  <c r="B30" i="3"/>
  <c r="D49" i="2"/>
  <c r="C46" i="2"/>
  <c r="D30" i="2" s="1"/>
  <c r="C45" i="2"/>
  <c r="D36" i="2"/>
  <c r="D33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0" i="2" l="1"/>
  <c r="F97" i="3"/>
  <c r="D101" i="3"/>
  <c r="D102" i="3" s="1"/>
  <c r="D101" i="4"/>
  <c r="D102" i="4" s="1"/>
  <c r="I39" i="4"/>
  <c r="F45" i="4"/>
  <c r="F46" i="4" s="1"/>
  <c r="D44" i="4"/>
  <c r="D45" i="4" s="1"/>
  <c r="D46" i="4" s="1"/>
  <c r="D98" i="4"/>
  <c r="D99" i="4" s="1"/>
  <c r="D32" i="2"/>
  <c r="D41" i="2"/>
  <c r="C50" i="2"/>
  <c r="I39" i="3"/>
  <c r="B57" i="3"/>
  <c r="B69" i="3" s="1"/>
  <c r="I92" i="4"/>
  <c r="F45" i="3"/>
  <c r="F46" i="3" s="1"/>
  <c r="F97" i="4"/>
  <c r="F98" i="4" s="1"/>
  <c r="F99" i="4" s="1"/>
  <c r="D49" i="3"/>
  <c r="F98" i="3"/>
  <c r="F99" i="3" s="1"/>
  <c r="D98" i="3"/>
  <c r="D99" i="3" s="1"/>
  <c r="G41" i="4"/>
  <c r="D49" i="4"/>
  <c r="D38" i="2"/>
  <c r="B49" i="2"/>
  <c r="D31" i="2"/>
  <c r="D39" i="2"/>
  <c r="C49" i="2"/>
  <c r="D26" i="2"/>
  <c r="D34" i="2"/>
  <c r="D42" i="2"/>
  <c r="D50" i="2"/>
  <c r="D44" i="3"/>
  <c r="D45" i="3" s="1"/>
  <c r="D46" i="3" s="1"/>
  <c r="B57" i="4"/>
  <c r="B69" i="4" s="1"/>
  <c r="D27" i="2"/>
  <c r="D35" i="2"/>
  <c r="D43" i="2"/>
  <c r="D29" i="2"/>
  <c r="D37" i="2"/>
  <c r="G40" i="3" l="1"/>
  <c r="G91" i="3"/>
  <c r="G41" i="3"/>
  <c r="G39" i="3"/>
  <c r="G38" i="3"/>
  <c r="G38" i="4"/>
  <c r="G39" i="4"/>
  <c r="G40" i="4"/>
  <c r="G92" i="4"/>
  <c r="E91" i="4"/>
  <c r="E41" i="4"/>
  <c r="E38" i="4"/>
  <c r="E39" i="4"/>
  <c r="E40" i="4"/>
  <c r="E38" i="3"/>
  <c r="G93" i="4"/>
  <c r="E93" i="3"/>
  <c r="E92" i="4"/>
  <c r="E94" i="4"/>
  <c r="G91" i="4"/>
  <c r="E41" i="3"/>
  <c r="E93" i="4"/>
  <c r="G94" i="4"/>
  <c r="E92" i="3"/>
  <c r="G94" i="3"/>
  <c r="G92" i="3"/>
  <c r="E91" i="3"/>
  <c r="E39" i="3"/>
  <c r="G93" i="3"/>
  <c r="E40" i="3"/>
  <c r="E94" i="3"/>
  <c r="G95" i="3" l="1"/>
  <c r="D103" i="4"/>
  <c r="E112" i="4" s="1"/>
  <c r="F112" i="4" s="1"/>
  <c r="D105" i="4"/>
  <c r="G42" i="4"/>
  <c r="G42" i="3"/>
  <c r="D50" i="3"/>
  <c r="G61" i="3" s="1"/>
  <c r="H61" i="3" s="1"/>
  <c r="D52" i="3"/>
  <c r="D50" i="4"/>
  <c r="G61" i="4" s="1"/>
  <c r="H61" i="4" s="1"/>
  <c r="E95" i="4"/>
  <c r="G95" i="4"/>
  <c r="E42" i="4"/>
  <c r="D52" i="4"/>
  <c r="E42" i="3"/>
  <c r="E95" i="3"/>
  <c r="D105" i="3"/>
  <c r="D103" i="3"/>
  <c r="D104" i="4" l="1"/>
  <c r="D51" i="4"/>
  <c r="E109" i="4"/>
  <c r="F109" i="4" s="1"/>
  <c r="E111" i="4"/>
  <c r="F111" i="4" s="1"/>
  <c r="E113" i="4"/>
  <c r="F113" i="4" s="1"/>
  <c r="E110" i="4"/>
  <c r="F110" i="4" s="1"/>
  <c r="E108" i="4"/>
  <c r="G63" i="3"/>
  <c r="H63" i="3" s="1"/>
  <c r="G65" i="3"/>
  <c r="H65" i="3" s="1"/>
  <c r="G67" i="3"/>
  <c r="H67" i="3" s="1"/>
  <c r="D51" i="3"/>
  <c r="G71" i="3"/>
  <c r="H71" i="3" s="1"/>
  <c r="G68" i="3"/>
  <c r="H68" i="3" s="1"/>
  <c r="G62" i="3"/>
  <c r="H62" i="3" s="1"/>
  <c r="G70" i="3"/>
  <c r="H70" i="3" s="1"/>
  <c r="G60" i="3"/>
  <c r="G66" i="3"/>
  <c r="H66" i="3" s="1"/>
  <c r="G69" i="3"/>
  <c r="H69" i="3" s="1"/>
  <c r="G64" i="3"/>
  <c r="H64" i="3" s="1"/>
  <c r="G70" i="4"/>
  <c r="H70" i="4" s="1"/>
  <c r="G69" i="4"/>
  <c r="H69" i="4" s="1"/>
  <c r="G60" i="4"/>
  <c r="H60" i="4" s="1"/>
  <c r="G66" i="4"/>
  <c r="H66" i="4" s="1"/>
  <c r="G68" i="4"/>
  <c r="H68" i="4" s="1"/>
  <c r="G65" i="4"/>
  <c r="H65" i="4" s="1"/>
  <c r="G63" i="4"/>
  <c r="H63" i="4" s="1"/>
  <c r="G64" i="4"/>
  <c r="H64" i="4" s="1"/>
  <c r="G62" i="4"/>
  <c r="H62" i="4" s="1"/>
  <c r="G67" i="4"/>
  <c r="H67" i="4" s="1"/>
  <c r="G71" i="4"/>
  <c r="H71" i="4" s="1"/>
  <c r="E110" i="3"/>
  <c r="F110" i="3" s="1"/>
  <c r="E109" i="3"/>
  <c r="F109" i="3" s="1"/>
  <c r="E112" i="3"/>
  <c r="F112" i="3" s="1"/>
  <c r="E108" i="3"/>
  <c r="E111" i="3"/>
  <c r="F111" i="3" s="1"/>
  <c r="D104" i="3"/>
  <c r="E113" i="3"/>
  <c r="F113" i="3" s="1"/>
  <c r="E115" i="4" l="1"/>
  <c r="E116" i="4" s="1"/>
  <c r="E117" i="4"/>
  <c r="E119" i="4"/>
  <c r="E120" i="4"/>
  <c r="F108" i="4"/>
  <c r="F120" i="4" s="1"/>
  <c r="G72" i="3"/>
  <c r="G73" i="3" s="1"/>
  <c r="H60" i="3"/>
  <c r="H74" i="3" s="1"/>
  <c r="G74" i="3"/>
  <c r="G74" i="4"/>
  <c r="G72" i="4"/>
  <c r="G73" i="4" s="1"/>
  <c r="E115" i="3"/>
  <c r="E116" i="3" s="1"/>
  <c r="E117" i="3"/>
  <c r="F108" i="3"/>
  <c r="E120" i="3"/>
  <c r="E119" i="3"/>
  <c r="H72" i="4"/>
  <c r="H74" i="4"/>
  <c r="D125" i="4" l="1"/>
  <c r="F119" i="4"/>
  <c r="F117" i="4"/>
  <c r="F115" i="4"/>
  <c r="G124" i="4" s="1"/>
  <c r="F125" i="4"/>
  <c r="H72" i="3"/>
  <c r="H73" i="3" s="1"/>
  <c r="G76" i="4"/>
  <c r="H73" i="4"/>
  <c r="F119" i="3"/>
  <c r="F117" i="3"/>
  <c r="D125" i="3"/>
  <c r="F120" i="3"/>
  <c r="F115" i="3"/>
  <c r="F125" i="3"/>
  <c r="F116" i="4" l="1"/>
  <c r="G76" i="3"/>
  <c r="G124" i="3"/>
  <c r="F116" i="3"/>
</calcChain>
</file>

<file path=xl/sharedStrings.xml><?xml version="1.0" encoding="utf-8"?>
<sst xmlns="http://schemas.openxmlformats.org/spreadsheetml/2006/main" count="450" uniqueCount="137">
  <si>
    <t>HPLC System Suitability Report</t>
  </si>
  <si>
    <t>Analysis Data</t>
  </si>
  <si>
    <t>Assay</t>
  </si>
  <si>
    <t>Sample(s)</t>
  </si>
  <si>
    <t>Reference Substance:</t>
  </si>
  <si>
    <t>COARTEM®  DISPERSIBLE 20 mg/ 120 mg TABLETS</t>
  </si>
  <si>
    <t>% age Purity:</t>
  </si>
  <si>
    <t>NDQB201709181</t>
  </si>
  <si>
    <t>Weight (mg):</t>
  </si>
  <si>
    <t>Artemether &amp; Lumefantrine</t>
  </si>
  <si>
    <t>Standard Conc (mg/mL):</t>
  </si>
  <si>
    <t>Each Coartem Dispersible tablet contains Artemether 20 mg and Lumefantrine 120 mg.</t>
  </si>
  <si>
    <t>2017-09-27 08:59:18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</si>
  <si>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</si>
  <si>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</si>
  <si>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</si>
  <si>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</si>
  <si>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</si>
  <si>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</si>
  <si>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</si>
  <si>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</si>
  <si>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</si>
  <si>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</si>
  <si>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</si>
  <si>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</si>
  <si>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</si>
  <si>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</si>
  <si>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</si>
  <si>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</si>
  <si>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</si>
  <si>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</si>
  <si>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</si>
  <si>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</si>
  <si>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</si>
  <si>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</si>
  <si>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</si>
  <si>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</si>
  <si>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</si>
  <si>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</si>
  <si>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</si>
  <si>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</si>
  <si>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</si>
  <si>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</si>
  <si>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</si>
  <si>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</si>
  <si>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</si>
  <si>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</si>
  <si>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</si>
  <si>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</si>
  <si>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</si>
  <si>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</si>
  <si>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</si>
  <si>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</si>
  <si>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</si>
  <si>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</si>
  <si>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</si>
  <si>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</si>
  <si>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</si>
  <si>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</si>
  <si>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</si>
  <si>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</si>
  <si>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</si>
  <si>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</si>
  <si>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</si>
  <si>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</si>
  <si>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</si>
  <si>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</si>
  <si>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</si>
  <si>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</si>
  <si>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</si>
  <si>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</si>
  <si>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</si>
  <si>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</si>
  <si>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</si>
  <si>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</si>
  <si>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</si>
  <si>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</si>
  <si>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</si>
  <si>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</si>
  <si>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</si>
  <si>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</si>
  <si>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</si>
  <si>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</si>
  <si>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</si>
  <si>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</si>
  <si>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</si>
  <si>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</si>
  <si>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</si>
  <si>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</si>
  <si>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</si>
  <si>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</si>
  <si>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</si>
  <si>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</si>
  <si>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</si>
  <si>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</si>
  <si>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</si>
  <si>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</si>
  <si>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</si>
  <si>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</si>
  <si>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</si>
  <si>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</si>
  <si>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</si>
  <si>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</si>
  <si>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</si>
  <si>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</si>
  <si>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</si>
  <si>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</si>
  <si>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</si>
  <si>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</si>
  <si>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</si>
  <si>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</si>
  <si>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</si>
  <si>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</si>
  <si>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</si>
  <si>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</si>
  <si>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</si>
  <si>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</si>
  <si>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</si>
  <si>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</si>
  <si>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</si>
  <si>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</si>
  <si>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</si>
  <si>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</si>
  <si>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</si>
  <si>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</si>
  <si>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</si>
  <si>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</si>
  <si>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</si>
  <si>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</si>
  <si>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</si>
  <si>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</si>
  <si>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Lumefantrine</t>
  </si>
  <si>
    <t>L1-0</t>
  </si>
  <si>
    <t xml:space="preserve">Artemether </t>
  </si>
  <si>
    <t>A5-10</t>
  </si>
  <si>
    <t>RUTTO KENNEDY</t>
  </si>
  <si>
    <r>
      <t xml:space="preserve">The Assymetry of all peaks were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and </t>
    </r>
    <r>
      <rPr>
        <b/>
        <sz val="12"/>
        <color rgb="FF000000"/>
        <rFont val="Book Antiqua"/>
        <family val="1"/>
      </rPr>
      <t>NMT 4.5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</si>
</sst>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5" sqref="B2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98.932000000000002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11.58</v>
      </c>
      <c r="C20" s="10"/>
      <c r="D20" s="10"/>
      <c r="E20" s="10"/>
    </row>
    <row r="21" spans="1:6" ht="16.5" customHeight="1" x14ac:dyDescent="0.3">
      <c r="A21" s="7" t="s">
        <v>10</v>
      </c>
      <c r="B21" s="13">
        <f>11.58/25*10/20</f>
        <v>0.23159999999999997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752281</v>
      </c>
      <c r="C24" s="18">
        <v>5886.85</v>
      </c>
      <c r="D24" s="19">
        <v>0.91</v>
      </c>
      <c r="E24" s="20">
        <v>3.71</v>
      </c>
    </row>
    <row r="25" spans="1:6" ht="16.5" customHeight="1" x14ac:dyDescent="0.3">
      <c r="A25" s="17">
        <v>2</v>
      </c>
      <c r="B25" s="18">
        <v>756413</v>
      </c>
      <c r="C25" s="18">
        <v>5885.65</v>
      </c>
      <c r="D25" s="19">
        <v>0.91</v>
      </c>
      <c r="E25" s="19">
        <v>3.71</v>
      </c>
    </row>
    <row r="26" spans="1:6" ht="16.5" customHeight="1" x14ac:dyDescent="0.3">
      <c r="A26" s="17">
        <v>3</v>
      </c>
      <c r="B26" s="18">
        <v>755285</v>
      </c>
      <c r="C26" s="18">
        <v>5850.89</v>
      </c>
      <c r="D26" s="19">
        <v>0.93</v>
      </c>
      <c r="E26" s="19">
        <v>3.71</v>
      </c>
    </row>
    <row r="27" spans="1:6" ht="16.5" customHeight="1" x14ac:dyDescent="0.3">
      <c r="A27" s="17">
        <v>4</v>
      </c>
      <c r="B27" s="18">
        <v>740759</v>
      </c>
      <c r="C27" s="18">
        <v>5887.47</v>
      </c>
      <c r="D27" s="19">
        <v>0.91</v>
      </c>
      <c r="E27" s="19">
        <v>3.71</v>
      </c>
    </row>
    <row r="28" spans="1:6" ht="16.5" customHeight="1" x14ac:dyDescent="0.3">
      <c r="A28" s="17">
        <v>5</v>
      </c>
      <c r="B28" s="18">
        <v>752761</v>
      </c>
      <c r="C28" s="18">
        <v>5858.93</v>
      </c>
      <c r="D28" s="19">
        <v>0.92</v>
      </c>
      <c r="E28" s="19">
        <v>3.71</v>
      </c>
    </row>
    <row r="29" spans="1:6" ht="16.5" customHeight="1" x14ac:dyDescent="0.3">
      <c r="A29" s="17">
        <v>6</v>
      </c>
      <c r="B29" s="21">
        <v>756617</v>
      </c>
      <c r="C29" s="21">
        <v>5856.88</v>
      </c>
      <c r="D29" s="22">
        <v>0.91</v>
      </c>
      <c r="E29" s="22">
        <v>3.71</v>
      </c>
    </row>
    <row r="30" spans="1:6" ht="16.5" customHeight="1" x14ac:dyDescent="0.3">
      <c r="A30" s="23" t="s">
        <v>18</v>
      </c>
      <c r="B30" s="24">
        <f>AVERAGE(B24:B29)</f>
        <v>752352.66666666663</v>
      </c>
      <c r="C30" s="25">
        <f>AVERAGE(C24:C29)</f>
        <v>5871.1116666666667</v>
      </c>
      <c r="D30" s="26">
        <f>AVERAGE(D24:D29)</f>
        <v>0.91500000000000004</v>
      </c>
      <c r="E30" s="26">
        <f>AVERAGE(E24:E29)</f>
        <v>3.7100000000000004</v>
      </c>
    </row>
    <row r="31" spans="1:6" ht="16.5" customHeight="1" x14ac:dyDescent="0.3">
      <c r="A31" s="27" t="s">
        <v>19</v>
      </c>
      <c r="B31" s="28">
        <f>(STDEV(B24:B29)/B30)</f>
        <v>7.9273100441263639E-3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136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6" t="s">
        <v>26</v>
      </c>
      <c r="C59" s="4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135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3" sqref="C23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99.1</v>
      </c>
      <c r="C19" s="72"/>
      <c r="D19" s="72"/>
      <c r="E19" s="72"/>
    </row>
    <row r="20" spans="1:5" ht="16.5" customHeight="1" x14ac:dyDescent="0.3">
      <c r="A20" s="8" t="s">
        <v>8</v>
      </c>
      <c r="B20" s="12">
        <v>25.7</v>
      </c>
      <c r="C20" s="72"/>
      <c r="D20" s="72"/>
      <c r="E20" s="72"/>
    </row>
    <row r="21" spans="1:5" ht="16.5" customHeight="1" x14ac:dyDescent="0.3">
      <c r="A21" s="8" t="s">
        <v>10</v>
      </c>
      <c r="B21" s="13">
        <f>25.7/20</f>
        <v>1.2849999999999999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323327859</v>
      </c>
      <c r="C24" s="18">
        <v>1382.69</v>
      </c>
      <c r="D24" s="19">
        <v>3.57</v>
      </c>
      <c r="E24" s="20">
        <v>6.01</v>
      </c>
    </row>
    <row r="25" spans="1:5" ht="16.5" customHeight="1" x14ac:dyDescent="0.3">
      <c r="A25" s="17">
        <v>2</v>
      </c>
      <c r="B25" s="18">
        <v>325480076</v>
      </c>
      <c r="C25" s="18">
        <v>1375.63</v>
      </c>
      <c r="D25" s="19">
        <v>3.57</v>
      </c>
      <c r="E25" s="19">
        <v>6.01</v>
      </c>
    </row>
    <row r="26" spans="1:5" ht="16.5" customHeight="1" x14ac:dyDescent="0.3">
      <c r="A26" s="17">
        <v>3</v>
      </c>
      <c r="B26" s="18">
        <v>323815879</v>
      </c>
      <c r="C26" s="18">
        <v>1380.06</v>
      </c>
      <c r="D26" s="19">
        <v>3.55</v>
      </c>
      <c r="E26" s="19">
        <v>6.02</v>
      </c>
    </row>
    <row r="27" spans="1:5" ht="16.5" customHeight="1" x14ac:dyDescent="0.3">
      <c r="A27" s="17">
        <v>4</v>
      </c>
      <c r="B27" s="18">
        <v>318919198</v>
      </c>
      <c r="C27" s="18">
        <v>1388.85</v>
      </c>
      <c r="D27" s="19">
        <v>3.47</v>
      </c>
      <c r="E27" s="19">
        <v>6.02</v>
      </c>
    </row>
    <row r="28" spans="1:5" ht="16.5" customHeight="1" x14ac:dyDescent="0.3">
      <c r="A28" s="17">
        <v>5</v>
      </c>
      <c r="B28" s="18">
        <v>323470579</v>
      </c>
      <c r="C28" s="18">
        <v>1379.26</v>
      </c>
      <c r="D28" s="19">
        <v>3.56</v>
      </c>
      <c r="E28" s="19">
        <v>6.02</v>
      </c>
    </row>
    <row r="29" spans="1:5" ht="16.5" customHeight="1" x14ac:dyDescent="0.3">
      <c r="A29" s="17">
        <v>6</v>
      </c>
      <c r="B29" s="21">
        <v>325376741</v>
      </c>
      <c r="C29" s="21">
        <v>1370.29</v>
      </c>
      <c r="D29" s="22">
        <v>3.51</v>
      </c>
      <c r="E29" s="22">
        <v>6.02</v>
      </c>
    </row>
    <row r="30" spans="1:5" ht="16.5" customHeight="1" x14ac:dyDescent="0.3">
      <c r="A30" s="23" t="s">
        <v>18</v>
      </c>
      <c r="B30" s="24">
        <f>AVERAGE(B24:B29)</f>
        <v>323398388.66666669</v>
      </c>
      <c r="C30" s="25">
        <f>AVERAGE(C24:C29)</f>
        <v>1379.4633333333331</v>
      </c>
      <c r="D30" s="26">
        <f>AVERAGE(D24:D29)</f>
        <v>3.5383333333333327</v>
      </c>
      <c r="E30" s="26">
        <f>AVERAGE(E24:E29)</f>
        <v>6.0166666666666657</v>
      </c>
    </row>
    <row r="31" spans="1:5" ht="16.5" customHeight="1" x14ac:dyDescent="0.3">
      <c r="A31" s="27" t="s">
        <v>19</v>
      </c>
      <c r="B31" s="28">
        <f>(STDEV(B24:B29)/B30)</f>
        <v>7.3817777896149793E-3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136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76" t="s">
        <v>26</v>
      </c>
      <c r="C59" s="476"/>
      <c r="E59" s="474" t="s">
        <v>27</v>
      </c>
      <c r="F59" s="46"/>
      <c r="G59" s="474" t="s">
        <v>28</v>
      </c>
    </row>
    <row r="60" spans="1:7" ht="15" customHeight="1" x14ac:dyDescent="0.3">
      <c r="A60" s="47" t="s">
        <v>29</v>
      </c>
      <c r="B60" s="49" t="s">
        <v>135</v>
      </c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3" sqref="D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0" t="s">
        <v>31</v>
      </c>
      <c r="B11" s="481"/>
      <c r="C11" s="481"/>
      <c r="D11" s="481"/>
      <c r="E11" s="481"/>
      <c r="F11" s="482"/>
      <c r="G11" s="91"/>
    </row>
    <row r="12" spans="1:7" ht="16.5" customHeight="1" x14ac:dyDescent="0.3">
      <c r="A12" s="479" t="s">
        <v>32</v>
      </c>
      <c r="B12" s="479"/>
      <c r="C12" s="479"/>
      <c r="D12" s="479"/>
      <c r="E12" s="479"/>
      <c r="F12" s="479"/>
      <c r="G12" s="90"/>
    </row>
    <row r="14" spans="1:7" ht="16.5" customHeight="1" x14ac:dyDescent="0.3">
      <c r="A14" s="484" t="s">
        <v>33</v>
      </c>
      <c r="B14" s="484"/>
      <c r="C14" s="60" t="s">
        <v>5</v>
      </c>
    </row>
    <row r="15" spans="1:7" ht="16.5" customHeight="1" x14ac:dyDescent="0.3">
      <c r="A15" s="484" t="s">
        <v>34</v>
      </c>
      <c r="B15" s="484"/>
      <c r="C15" s="60" t="s">
        <v>7</v>
      </c>
    </row>
    <row r="16" spans="1:7" ht="16.5" customHeight="1" x14ac:dyDescent="0.3">
      <c r="A16" s="484" t="s">
        <v>35</v>
      </c>
      <c r="B16" s="484"/>
      <c r="C16" s="60" t="s">
        <v>9</v>
      </c>
    </row>
    <row r="17" spans="1:5" ht="16.5" customHeight="1" x14ac:dyDescent="0.3">
      <c r="A17" s="484" t="s">
        <v>36</v>
      </c>
      <c r="B17" s="484"/>
      <c r="C17" s="60" t="s">
        <v>11</v>
      </c>
    </row>
    <row r="18" spans="1:5" ht="16.5" customHeight="1" x14ac:dyDescent="0.3">
      <c r="A18" s="484" t="s">
        <v>37</v>
      </c>
      <c r="B18" s="484"/>
      <c r="C18" s="97" t="s">
        <v>12</v>
      </c>
    </row>
    <row r="19" spans="1:5" ht="16.5" customHeight="1" x14ac:dyDescent="0.3">
      <c r="A19" s="484" t="s">
        <v>38</v>
      </c>
      <c r="B19" s="48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9" t="s">
        <v>1</v>
      </c>
      <c r="B21" s="479"/>
      <c r="C21" s="59" t="s">
        <v>39</v>
      </c>
      <c r="D21" s="66"/>
    </row>
    <row r="22" spans="1:5" ht="15.75" customHeight="1" x14ac:dyDescent="0.3">
      <c r="A22" s="483"/>
      <c r="B22" s="483"/>
      <c r="C22" s="57"/>
      <c r="D22" s="483"/>
      <c r="E22" s="48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288.67</v>
      </c>
      <c r="D24" s="87">
        <f t="shared" ref="D24:D43" si="0">(C24-$C$46)/$C$46</f>
        <v>6.8993902864400323E-3</v>
      </c>
      <c r="E24" s="53"/>
    </row>
    <row r="25" spans="1:5" ht="15.75" customHeight="1" x14ac:dyDescent="0.3">
      <c r="C25" s="95">
        <v>285.10000000000002</v>
      </c>
      <c r="D25" s="88">
        <f t="shared" si="0"/>
        <v>-5.5529976420685889E-3</v>
      </c>
      <c r="E25" s="53"/>
    </row>
    <row r="26" spans="1:5" ht="15.75" customHeight="1" x14ac:dyDescent="0.3">
      <c r="C26" s="95">
        <v>287.97000000000003</v>
      </c>
      <c r="D26" s="88">
        <f t="shared" si="0"/>
        <v>4.4577455945756317E-3</v>
      </c>
      <c r="E26" s="53"/>
    </row>
    <row r="27" spans="1:5" ht="15.75" customHeight="1" x14ac:dyDescent="0.3">
      <c r="C27" s="95">
        <v>284.01</v>
      </c>
      <c r="D27" s="88">
        <f t="shared" si="0"/>
        <v>-9.3549872336861854E-3</v>
      </c>
      <c r="E27" s="53"/>
    </row>
    <row r="28" spans="1:5" ht="15.75" customHeight="1" x14ac:dyDescent="0.3">
      <c r="C28" s="95">
        <v>284.95</v>
      </c>
      <c r="D28" s="88">
        <f t="shared" si="0"/>
        <v>-6.0762072188968027E-3</v>
      </c>
      <c r="E28" s="53"/>
    </row>
    <row r="29" spans="1:5" ht="15.75" customHeight="1" x14ac:dyDescent="0.3">
      <c r="C29" s="95">
        <v>285.44</v>
      </c>
      <c r="D29" s="88">
        <f t="shared" si="0"/>
        <v>-4.3670559345916626E-3</v>
      </c>
      <c r="E29" s="53"/>
    </row>
    <row r="30" spans="1:5" ht="15.75" customHeight="1" x14ac:dyDescent="0.3">
      <c r="C30" s="95">
        <v>285.61</v>
      </c>
      <c r="D30" s="88">
        <f t="shared" si="0"/>
        <v>-3.7740850808531002E-3</v>
      </c>
      <c r="E30" s="53"/>
    </row>
    <row r="31" spans="1:5" ht="15.75" customHeight="1" x14ac:dyDescent="0.3">
      <c r="C31" s="95">
        <v>284.92</v>
      </c>
      <c r="D31" s="88">
        <f t="shared" si="0"/>
        <v>-6.1808491342623265E-3</v>
      </c>
      <c r="E31" s="53"/>
    </row>
    <row r="32" spans="1:5" ht="15.75" customHeight="1" x14ac:dyDescent="0.3">
      <c r="C32" s="95">
        <v>286.89999999999998</v>
      </c>
      <c r="D32" s="88">
        <f t="shared" si="0"/>
        <v>7.2551727986838439E-4</v>
      </c>
      <c r="E32" s="53"/>
    </row>
    <row r="33" spans="1:7" ht="15.75" customHeight="1" x14ac:dyDescent="0.3">
      <c r="C33" s="95">
        <v>286.92</v>
      </c>
      <c r="D33" s="88">
        <f t="shared" si="0"/>
        <v>7.9527855677893184E-4</v>
      </c>
      <c r="E33" s="53"/>
    </row>
    <row r="34" spans="1:7" ht="15.75" customHeight="1" x14ac:dyDescent="0.3">
      <c r="C34" s="95">
        <v>287.49</v>
      </c>
      <c r="D34" s="88">
        <f t="shared" si="0"/>
        <v>2.7834749487256664E-3</v>
      </c>
      <c r="E34" s="53"/>
    </row>
    <row r="35" spans="1:7" ht="15.75" customHeight="1" x14ac:dyDescent="0.3">
      <c r="C35" s="95">
        <v>287.91000000000003</v>
      </c>
      <c r="D35" s="88">
        <f t="shared" si="0"/>
        <v>4.2484617638443864E-3</v>
      </c>
      <c r="E35" s="53"/>
    </row>
    <row r="36" spans="1:7" ht="15.75" customHeight="1" x14ac:dyDescent="0.3">
      <c r="C36" s="95">
        <v>291.18</v>
      </c>
      <c r="D36" s="88">
        <f t="shared" si="0"/>
        <v>1.5654430538696779E-2</v>
      </c>
      <c r="E36" s="53"/>
    </row>
    <row r="37" spans="1:7" ht="15.75" customHeight="1" x14ac:dyDescent="0.3">
      <c r="C37" s="95">
        <v>287.51</v>
      </c>
      <c r="D37" s="88">
        <f t="shared" si="0"/>
        <v>2.8532362256360158E-3</v>
      </c>
      <c r="E37" s="53"/>
    </row>
    <row r="38" spans="1:7" ht="15.75" customHeight="1" x14ac:dyDescent="0.3">
      <c r="C38" s="95">
        <v>288.61</v>
      </c>
      <c r="D38" s="88">
        <f t="shared" si="0"/>
        <v>6.690106455708787E-3</v>
      </c>
      <c r="E38" s="53"/>
    </row>
    <row r="39" spans="1:7" ht="15.75" customHeight="1" x14ac:dyDescent="0.3">
      <c r="C39" s="95">
        <v>288.77</v>
      </c>
      <c r="D39" s="88">
        <f t="shared" si="0"/>
        <v>7.2481966709919765E-3</v>
      </c>
      <c r="E39" s="53"/>
    </row>
    <row r="40" spans="1:7" ht="15.75" customHeight="1" x14ac:dyDescent="0.3">
      <c r="C40" s="95">
        <v>285.68</v>
      </c>
      <c r="D40" s="88">
        <f t="shared" si="0"/>
        <v>-3.5299206116666797E-3</v>
      </c>
      <c r="E40" s="53"/>
    </row>
    <row r="41" spans="1:7" ht="15.75" customHeight="1" x14ac:dyDescent="0.3">
      <c r="C41" s="95">
        <v>285.95999999999998</v>
      </c>
      <c r="D41" s="88">
        <f t="shared" si="0"/>
        <v>-2.5532627349209988E-3</v>
      </c>
      <c r="E41" s="53"/>
    </row>
    <row r="42" spans="1:7" ht="15.75" customHeight="1" x14ac:dyDescent="0.3">
      <c r="C42" s="95">
        <v>286.45999999999998</v>
      </c>
      <c r="D42" s="88">
        <f t="shared" si="0"/>
        <v>-8.0923081216068438E-4</v>
      </c>
      <c r="E42" s="53"/>
    </row>
    <row r="43" spans="1:7" ht="16.5" customHeight="1" x14ac:dyDescent="0.3">
      <c r="C43" s="96">
        <v>283.77999999999997</v>
      </c>
      <c r="D43" s="89">
        <f t="shared" si="0"/>
        <v>-1.0157241918155995E-2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5733.8399999999992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286.69199999999995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7">
        <f>C46</f>
        <v>286.69199999999995</v>
      </c>
      <c r="C49" s="93">
        <f>-IF(C46&lt;=80,10%,IF(C46&lt;250,7.5%,5%))</f>
        <v>-0.05</v>
      </c>
      <c r="D49" s="81">
        <f>IF(C46&lt;=80,C46*0.9,IF(C46&lt;250,C46*0.925,C46*0.95))</f>
        <v>272.35739999999993</v>
      </c>
    </row>
    <row r="50" spans="1:6" ht="17.25" customHeight="1" x14ac:dyDescent="0.3">
      <c r="B50" s="478"/>
      <c r="C50" s="94">
        <f>IF(C46&lt;=80, 10%, IF(C46&lt;250, 7.5%, 5%))</f>
        <v>0.05</v>
      </c>
      <c r="D50" s="81">
        <f>IF(C46&lt;=80, C46*1.1, IF(C46&lt;250, C46*1.075, C46*1.05))</f>
        <v>301.02659999999997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19" sqref="A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5" t="s">
        <v>45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46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98"/>
    </row>
    <row r="16" spans="1:9" ht="19.5" customHeight="1" x14ac:dyDescent="0.3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25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4">
      <c r="A18" s="100" t="s">
        <v>33</v>
      </c>
      <c r="B18" s="492" t="s">
        <v>5</v>
      </c>
      <c r="C18" s="492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87" t="s">
        <v>133</v>
      </c>
      <c r="C20" s="48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104"/>
    </row>
    <row r="22" spans="1:14" ht="26.25" customHeight="1" x14ac:dyDescent="0.4">
      <c r="A22" s="100" t="s">
        <v>37</v>
      </c>
      <c r="B22" s="105">
        <v>43153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293">
        <v>43175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7" t="s">
        <v>133</v>
      </c>
      <c r="C26" s="487"/>
    </row>
    <row r="27" spans="1:14" ht="26.25" customHeight="1" x14ac:dyDescent="0.4">
      <c r="A27" s="109" t="s">
        <v>48</v>
      </c>
      <c r="B27" s="493" t="s">
        <v>134</v>
      </c>
      <c r="C27" s="493"/>
    </row>
    <row r="28" spans="1:14" ht="27" customHeight="1" x14ac:dyDescent="0.4">
      <c r="A28" s="109" t="s">
        <v>6</v>
      </c>
      <c r="B28" s="110">
        <v>98.391999999999996</v>
      </c>
    </row>
    <row r="29" spans="1:14" s="14" customFormat="1" ht="27" customHeight="1" x14ac:dyDescent="0.4">
      <c r="A29" s="109" t="s">
        <v>49</v>
      </c>
      <c r="B29" s="111">
        <v>0</v>
      </c>
      <c r="C29" s="494" t="s">
        <v>50</v>
      </c>
      <c r="D29" s="495"/>
      <c r="E29" s="495"/>
      <c r="F29" s="495"/>
      <c r="G29" s="49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98.391999999999996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7" t="s">
        <v>53</v>
      </c>
      <c r="D31" s="498"/>
      <c r="E31" s="498"/>
      <c r="F31" s="498"/>
      <c r="G31" s="498"/>
      <c r="H31" s="49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7" t="s">
        <v>55</v>
      </c>
      <c r="D32" s="498"/>
      <c r="E32" s="498"/>
      <c r="F32" s="498"/>
      <c r="G32" s="498"/>
      <c r="H32" s="49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500" t="s">
        <v>59</v>
      </c>
      <c r="E36" s="501"/>
      <c r="F36" s="500" t="s">
        <v>60</v>
      </c>
      <c r="G36" s="50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752051</v>
      </c>
      <c r="E38" s="133">
        <f>IF(ISBLANK(D38),"-",$D$48/$D$45*D38)</f>
        <v>660053.20651060424</v>
      </c>
      <c r="F38" s="132">
        <v>685432</v>
      </c>
      <c r="G38" s="134">
        <f>IF(ISBLANK(F38),"-",$D$48/$F$45*F38)</f>
        <v>671130.89852849231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753742</v>
      </c>
      <c r="E39" s="138">
        <f>IF(ISBLANK(D39),"-",$D$48/$D$45*D39)</f>
        <v>661537.34784172336</v>
      </c>
      <c r="F39" s="137">
        <v>681456</v>
      </c>
      <c r="G39" s="139">
        <f>IF(ISBLANK(F39),"-",$D$48/$F$45*F39)</f>
        <v>667237.85523236764</v>
      </c>
      <c r="I39" s="504">
        <f>ABS((F43/D43*D42)-F42)/D42</f>
        <v>9.9304825922551226E-3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755968</v>
      </c>
      <c r="E40" s="138">
        <f>IF(ISBLANK(D40),"-",$D$48/$D$45*D40)</f>
        <v>663491.04305347439</v>
      </c>
      <c r="F40" s="137">
        <v>682954</v>
      </c>
      <c r="G40" s="139">
        <f>IF(ISBLANK(F40),"-",$D$48/$F$45*F40)</f>
        <v>668704.60041787941</v>
      </c>
      <c r="I40" s="50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753920.33333333337</v>
      </c>
      <c r="E42" s="148">
        <f>AVERAGE(E38:E41)</f>
        <v>661693.86580193404</v>
      </c>
      <c r="F42" s="147">
        <f>AVERAGE(F38:F41)</f>
        <v>683280.66666666663</v>
      </c>
      <c r="G42" s="149">
        <f>AVERAGE(G38:G41)</f>
        <v>669024.45139291312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11.58</v>
      </c>
      <c r="E43" s="140"/>
      <c r="F43" s="152">
        <v>10.38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11.58</v>
      </c>
      <c r="E44" s="155"/>
      <c r="F44" s="154">
        <f>F43*$B$34</f>
        <v>10.38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11.393793599999999</v>
      </c>
      <c r="E45" s="158"/>
      <c r="F45" s="157">
        <f>F44*$B$30/100</f>
        <v>10.2130896</v>
      </c>
      <c r="H45" s="150"/>
    </row>
    <row r="46" spans="1:14" ht="19.5" customHeight="1" x14ac:dyDescent="0.3">
      <c r="A46" s="505" t="s">
        <v>78</v>
      </c>
      <c r="B46" s="506"/>
      <c r="C46" s="153" t="s">
        <v>79</v>
      </c>
      <c r="D46" s="159">
        <f>D45/$B$45</f>
        <v>0.22787587199999998</v>
      </c>
      <c r="E46" s="160"/>
      <c r="F46" s="161">
        <f>F45/$B$45</f>
        <v>0.204261792</v>
      </c>
      <c r="H46" s="150"/>
    </row>
    <row r="47" spans="1:14" ht="27" customHeight="1" x14ac:dyDescent="0.4">
      <c r="A47" s="507"/>
      <c r="B47" s="508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665359.15859742358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6.5264517497144172E-3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Coartem Dispersible tablet contains Artemether 20 mg and Lumefantrine 120 mg.</v>
      </c>
    </row>
    <row r="56" spans="1:12" ht="26.25" customHeight="1" x14ac:dyDescent="0.4">
      <c r="A56" s="177" t="s">
        <v>87</v>
      </c>
      <c r="B56" s="178">
        <v>20</v>
      </c>
      <c r="C56" s="99" t="str">
        <f>B20</f>
        <v xml:space="preserve">Artemether </v>
      </c>
      <c r="H56" s="179"/>
    </row>
    <row r="57" spans="1:12" ht="18.75" x14ac:dyDescent="0.3">
      <c r="A57" s="176" t="s">
        <v>88</v>
      </c>
      <c r="B57" s="247">
        <f>Uniformity!C46</f>
        <v>286.69199999999995</v>
      </c>
      <c r="H57" s="179"/>
    </row>
    <row r="58" spans="1:12" ht="19.5" customHeight="1" x14ac:dyDescent="0.3">
      <c r="H58" s="179"/>
    </row>
    <row r="59" spans="1:12" s="14" customFormat="1" ht="27" customHeight="1" thickBo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509" t="s">
        <v>94</v>
      </c>
      <c r="D60" s="512">
        <v>292.27999999999997</v>
      </c>
      <c r="E60" s="182">
        <v>1</v>
      </c>
      <c r="F60" s="183">
        <v>617615</v>
      </c>
      <c r="G60" s="248">
        <f>IF(ISBLANK(F60),"-",(F60/$D$50*$D$47*$B$68)*($B$57/$D$60))</f>
        <v>18.20992542405774</v>
      </c>
      <c r="H60" s="266">
        <f t="shared" ref="H60:H71" si="0">IF(ISBLANK(F60),"-",(G60/$B$56)*100)</f>
        <v>91.049627120288704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510"/>
      <c r="D61" s="513"/>
      <c r="E61" s="184">
        <v>2</v>
      </c>
      <c r="F61" s="137">
        <v>612239</v>
      </c>
      <c r="G61" s="249">
        <f>IF(ISBLANK(F61),"-",(F61/$D$50*$D$47*$B$68)*($B$57/$D$60))</f>
        <v>18.05141800587694</v>
      </c>
      <c r="H61" s="267">
        <f t="shared" si="0"/>
        <v>90.257090029384699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10"/>
      <c r="D62" s="513"/>
      <c r="E62" s="184">
        <v>3</v>
      </c>
      <c r="F62" s="185">
        <v>613635</v>
      </c>
      <c r="G62" s="249">
        <f>IF(ISBLANK(F62),"-",(F62/$D$50*$D$47*$B$68)*($B$57/$D$60))</f>
        <v>18.092578042294424</v>
      </c>
      <c r="H62" s="267">
        <f t="shared" si="0"/>
        <v>90.462890211472114</v>
      </c>
      <c r="L62" s="112"/>
    </row>
    <row r="63" spans="1:12" ht="27" customHeight="1" thickBot="1" x14ac:dyDescent="0.45">
      <c r="A63" s="124" t="s">
        <v>97</v>
      </c>
      <c r="B63" s="125">
        <v>1</v>
      </c>
      <c r="C63" s="511"/>
      <c r="D63" s="51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9" t="s">
        <v>99</v>
      </c>
      <c r="D64" s="512">
        <v>281.12</v>
      </c>
      <c r="E64" s="182">
        <v>1</v>
      </c>
      <c r="F64" s="183">
        <v>609446</v>
      </c>
      <c r="G64" s="248">
        <f>IF(ISBLANK(F64),"-",(F64/$D$50*$D$47*$B$68)*($B$57/$D$64))</f>
        <v>18.682410807512856</v>
      </c>
      <c r="H64" s="266">
        <f t="shared" si="0"/>
        <v>93.412054037564275</v>
      </c>
    </row>
    <row r="65" spans="1:8" ht="26.25" customHeight="1" x14ac:dyDescent="0.4">
      <c r="A65" s="124" t="s">
        <v>100</v>
      </c>
      <c r="B65" s="125">
        <v>1</v>
      </c>
      <c r="C65" s="510"/>
      <c r="D65" s="513"/>
      <c r="E65" s="184">
        <v>2</v>
      </c>
      <c r="F65" s="137">
        <v>609894</v>
      </c>
      <c r="G65" s="249">
        <f>IF(ISBLANK(F65),"-",(F65/$D$50*$D$47*$B$68)*($B$57/$D$64))</f>
        <v>18.696144132601159</v>
      </c>
      <c r="H65" s="267">
        <f t="shared" si="0"/>
        <v>93.480720663005783</v>
      </c>
    </row>
    <row r="66" spans="1:8" ht="26.25" customHeight="1" x14ac:dyDescent="0.4">
      <c r="A66" s="124" t="s">
        <v>101</v>
      </c>
      <c r="B66" s="125">
        <v>1</v>
      </c>
      <c r="C66" s="510"/>
      <c r="D66" s="513"/>
      <c r="E66" s="184">
        <v>3</v>
      </c>
      <c r="F66" s="137">
        <v>610938</v>
      </c>
      <c r="G66" s="249">
        <f>IF(ISBLANK(F66),"-",(F66/$D$50*$D$47*$B$68)*($B$57/$D$64))</f>
        <v>18.728147684815863</v>
      </c>
      <c r="H66" s="267">
        <f t="shared" si="0"/>
        <v>93.640738424079316</v>
      </c>
    </row>
    <row r="67" spans="1:8" ht="27" customHeight="1" thickBot="1" x14ac:dyDescent="0.45">
      <c r="A67" s="124" t="s">
        <v>102</v>
      </c>
      <c r="B67" s="125">
        <v>1</v>
      </c>
      <c r="C67" s="511"/>
      <c r="D67" s="51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509" t="s">
        <v>104</v>
      </c>
      <c r="D68" s="512">
        <v>278.83</v>
      </c>
      <c r="E68" s="182">
        <v>1</v>
      </c>
      <c r="F68" s="183">
        <v>599913</v>
      </c>
      <c r="G68" s="248">
        <f>IF(ISBLANK(F68),"-",(F68/$D$50*$D$47*$B$68)*($B$57/$D$68))</f>
        <v>18.541215648230477</v>
      </c>
      <c r="H68" s="267">
        <f t="shared" si="0"/>
        <v>92.706078241152383</v>
      </c>
    </row>
    <row r="69" spans="1:8" ht="27" customHeight="1" thickBot="1" x14ac:dyDescent="0.45">
      <c r="A69" s="172" t="s">
        <v>105</v>
      </c>
      <c r="B69" s="189">
        <f>(D47*B68)/B56*B57</f>
        <v>286.69199999999995</v>
      </c>
      <c r="C69" s="510"/>
      <c r="D69" s="513"/>
      <c r="E69" s="184">
        <v>2</v>
      </c>
      <c r="F69" s="137">
        <v>600087</v>
      </c>
      <c r="G69" s="249">
        <f>IF(ISBLANK(F69),"-",(F69/$D$50*$D$47*$B$68)*($B$57/$D$68))</f>
        <v>18.546593380539647</v>
      </c>
      <c r="H69" s="267">
        <f t="shared" si="0"/>
        <v>92.732966902698237</v>
      </c>
    </row>
    <row r="70" spans="1:8" ht="26.25" customHeight="1" x14ac:dyDescent="0.4">
      <c r="A70" s="522" t="s">
        <v>78</v>
      </c>
      <c r="B70" s="523"/>
      <c r="C70" s="510"/>
      <c r="D70" s="513"/>
      <c r="E70" s="184">
        <v>3</v>
      </c>
      <c r="F70" s="137">
        <v>600915</v>
      </c>
      <c r="G70" s="249">
        <f>IF(ISBLANK(F70),"-",(F70/$D$50*$D$47*$B$68)*($B$57/$D$68))</f>
        <v>18.572183968769497</v>
      </c>
      <c r="H70" s="267">
        <f t="shared" si="0"/>
        <v>92.860919843847483</v>
      </c>
    </row>
    <row r="71" spans="1:8" ht="27" customHeight="1" thickBot="1" x14ac:dyDescent="0.45">
      <c r="A71" s="524"/>
      <c r="B71" s="525"/>
      <c r="C71" s="521"/>
      <c r="D71" s="51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18.457846343855405</v>
      </c>
      <c r="H72" s="269">
        <f>AVERAGE(H60:H71)</f>
        <v>92.289231719276984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1.4439182475678318E-2</v>
      </c>
      <c r="H73" s="253">
        <f>STDEV(H60:H71)/H72</f>
        <v>1.4439182475678311E-2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517" t="str">
        <f>B26</f>
        <v xml:space="preserve">Artemether </v>
      </c>
      <c r="D76" s="517"/>
      <c r="E76" s="198" t="s">
        <v>108</v>
      </c>
      <c r="F76" s="198"/>
      <c r="G76" s="285">
        <f>H72</f>
        <v>92.289231719276984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/>
      <c r="C79" s="503"/>
    </row>
    <row r="80" spans="1:8" ht="26.25" customHeight="1" x14ac:dyDescent="0.4">
      <c r="A80" s="109" t="s">
        <v>48</v>
      </c>
      <c r="B80" s="503"/>
      <c r="C80" s="503"/>
    </row>
    <row r="81" spans="1:12" ht="27" customHeight="1" x14ac:dyDescent="0.4">
      <c r="A81" s="109" t="s">
        <v>6</v>
      </c>
      <c r="B81" s="201"/>
    </row>
    <row r="82" spans="1:12" s="14" customFormat="1" ht="27" customHeight="1" x14ac:dyDescent="0.4">
      <c r="A82" s="109" t="s">
        <v>49</v>
      </c>
      <c r="B82" s="111"/>
      <c r="C82" s="494" t="s">
        <v>50</v>
      </c>
      <c r="D82" s="495"/>
      <c r="E82" s="495"/>
      <c r="F82" s="495"/>
      <c r="G82" s="49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7" t="s">
        <v>111</v>
      </c>
      <c r="D84" s="498"/>
      <c r="E84" s="498"/>
      <c r="F84" s="498"/>
      <c r="G84" s="498"/>
      <c r="H84" s="49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7" t="s">
        <v>112</v>
      </c>
      <c r="D85" s="498"/>
      <c r="E85" s="498"/>
      <c r="F85" s="498"/>
      <c r="G85" s="498"/>
      <c r="H85" s="49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</v>
      </c>
      <c r="D89" s="202" t="s">
        <v>59</v>
      </c>
      <c r="E89" s="203"/>
      <c r="F89" s="500" t="s">
        <v>60</v>
      </c>
      <c r="G89" s="502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504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50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0</v>
      </c>
      <c r="E97" s="155"/>
      <c r="F97" s="154">
        <f>F96*$B$87</f>
        <v>0</v>
      </c>
    </row>
    <row r="98" spans="1:10" ht="19.5" customHeight="1" x14ac:dyDescent="0.3">
      <c r="A98" s="124" t="s">
        <v>76</v>
      </c>
      <c r="B98" s="217">
        <f>(B97/B96)*(B95/B94)*(B93/B92)*(B91/B90)*B89</f>
        <v>1</v>
      </c>
      <c r="C98" s="215" t="s">
        <v>115</v>
      </c>
      <c r="D98" s="218">
        <f>D97*$B$83/100</f>
        <v>0</v>
      </c>
      <c r="E98" s="158"/>
      <c r="F98" s="157">
        <f>F97*$B$83/100</f>
        <v>0</v>
      </c>
    </row>
    <row r="99" spans="1:10" ht="19.5" customHeight="1" x14ac:dyDescent="0.3">
      <c r="A99" s="505" t="s">
        <v>78</v>
      </c>
      <c r="B99" s="519"/>
      <c r="C99" s="215" t="s">
        <v>116</v>
      </c>
      <c r="D99" s="219">
        <f>D98/$B$98</f>
        <v>0</v>
      </c>
      <c r="E99" s="158"/>
      <c r="F99" s="161">
        <f>F98/$B$98</f>
        <v>0</v>
      </c>
      <c r="G99" s="220"/>
      <c r="H99" s="150"/>
    </row>
    <row r="100" spans="1:10" ht="19.5" customHeight="1" x14ac:dyDescent="0.3">
      <c r="A100" s="507"/>
      <c r="B100" s="520"/>
      <c r="C100" s="215" t="s">
        <v>80</v>
      </c>
      <c r="D100" s="221">
        <f>$B$56/$B$116</f>
        <v>20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20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20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1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505" t="s">
        <v>78</v>
      </c>
      <c r="B117" s="506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507"/>
      <c r="B118" s="508"/>
      <c r="C118" s="98"/>
      <c r="D118" s="260"/>
      <c r="E118" s="485" t="s">
        <v>123</v>
      </c>
      <c r="F118" s="48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17" t="str">
        <f>B26</f>
        <v xml:space="preserve">Artemether </v>
      </c>
      <c r="D124" s="517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18" t="s">
        <v>26</v>
      </c>
      <c r="C127" s="518"/>
      <c r="E127" s="204" t="s">
        <v>27</v>
      </c>
      <c r="F127" s="239"/>
      <c r="G127" s="518" t="s">
        <v>28</v>
      </c>
      <c r="H127" s="51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0" zoomScale="50" zoomScaleNormal="40" zoomScalePageLayoutView="50" workbookViewId="0">
      <selection activeCell="B59" sqref="B5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5" t="s">
        <v>45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46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286"/>
    </row>
    <row r="16" spans="1:9" ht="19.5" customHeight="1" x14ac:dyDescent="0.3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25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4">
      <c r="A18" s="288" t="s">
        <v>33</v>
      </c>
      <c r="B18" s="492" t="s">
        <v>5</v>
      </c>
      <c r="C18" s="492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487" t="s">
        <v>131</v>
      </c>
      <c r="C20" s="487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292"/>
    </row>
    <row r="22" spans="1:14" ht="26.25" customHeight="1" x14ac:dyDescent="0.4">
      <c r="A22" s="288" t="s">
        <v>37</v>
      </c>
      <c r="B22" s="293">
        <v>42788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43175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492" t="s">
        <v>131</v>
      </c>
      <c r="C26" s="492"/>
    </row>
    <row r="27" spans="1:14" ht="26.25" customHeight="1" x14ac:dyDescent="0.4">
      <c r="A27" s="297" t="s">
        <v>48</v>
      </c>
      <c r="B27" s="493" t="s">
        <v>132</v>
      </c>
      <c r="C27" s="493"/>
    </row>
    <row r="28" spans="1:14" ht="27" customHeight="1" x14ac:dyDescent="0.4">
      <c r="A28" s="297" t="s">
        <v>6</v>
      </c>
      <c r="B28" s="298">
        <v>99.1</v>
      </c>
    </row>
    <row r="29" spans="1:14" s="14" customFormat="1" ht="27" customHeight="1" x14ac:dyDescent="0.4">
      <c r="A29" s="297" t="s">
        <v>49</v>
      </c>
      <c r="B29" s="299">
        <v>0</v>
      </c>
      <c r="C29" s="494" t="s">
        <v>50</v>
      </c>
      <c r="D29" s="495"/>
      <c r="E29" s="495"/>
      <c r="F29" s="495"/>
      <c r="G29" s="496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99.1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7" t="s">
        <v>53</v>
      </c>
      <c r="D31" s="498"/>
      <c r="E31" s="498"/>
      <c r="F31" s="498"/>
      <c r="G31" s="498"/>
      <c r="H31" s="499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7" t="s">
        <v>55</v>
      </c>
      <c r="D32" s="498"/>
      <c r="E32" s="498"/>
      <c r="F32" s="498"/>
      <c r="G32" s="498"/>
      <c r="H32" s="499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20</v>
      </c>
      <c r="C36" s="287"/>
      <c r="D36" s="500" t="s">
        <v>59</v>
      </c>
      <c r="E36" s="501"/>
      <c r="F36" s="500" t="s">
        <v>60</v>
      </c>
      <c r="G36" s="502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1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</v>
      </c>
      <c r="C38" s="319">
        <v>1</v>
      </c>
      <c r="D38" s="320">
        <v>323559275</v>
      </c>
      <c r="E38" s="321">
        <f>IF(ISBLANK(D38),"-",$D$48/$D$45*D38)</f>
        <v>304900627.0441758</v>
      </c>
      <c r="F38" s="320">
        <v>309784182</v>
      </c>
      <c r="G38" s="322">
        <f>IF(ISBLANK(F38),"-",$D$48/$F$45*F38)</f>
        <v>309374904.78221524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324867789</v>
      </c>
      <c r="E39" s="326">
        <f>IF(ISBLANK(D39),"-",$D$48/$D$45*D39)</f>
        <v>306133683.14833504</v>
      </c>
      <c r="F39" s="325">
        <v>308595245</v>
      </c>
      <c r="G39" s="327">
        <f>IF(ISBLANK(F39),"-",$D$48/$F$45*F39)</f>
        <v>308187538.56876844</v>
      </c>
      <c r="I39" s="504">
        <f>ABS((F43/D43*D42)-F42)/D42</f>
        <v>1.0211258260761356E-2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324821397</v>
      </c>
      <c r="E40" s="326">
        <f>IF(ISBLANK(D40),"-",$D$48/$D$45*D40)</f>
        <v>306089966.42938197</v>
      </c>
      <c r="F40" s="325">
        <v>309896220</v>
      </c>
      <c r="G40" s="327">
        <f>IF(ISBLANK(F40),"-",$D$48/$F$45*F40)</f>
        <v>309486794.76109731</v>
      </c>
      <c r="I40" s="504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324416153.66666669</v>
      </c>
      <c r="E42" s="336">
        <f>AVERAGE(E38:E41)</f>
        <v>305708092.20729762</v>
      </c>
      <c r="F42" s="335">
        <f>AVERAGE(F38:F41)</f>
        <v>309425215.66666669</v>
      </c>
      <c r="G42" s="337">
        <f>AVERAGE(G38:G41)</f>
        <v>309016412.704027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25.7</v>
      </c>
      <c r="E43" s="328"/>
      <c r="F43" s="340">
        <v>24.25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25.7</v>
      </c>
      <c r="E44" s="343"/>
      <c r="F44" s="342">
        <f>F43*$B$34</f>
        <v>24.25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20</v>
      </c>
      <c r="C45" s="341" t="s">
        <v>77</v>
      </c>
      <c r="D45" s="345">
        <f>D44*$B$30/100</f>
        <v>25.468699999999998</v>
      </c>
      <c r="E45" s="346"/>
      <c r="F45" s="345">
        <f>F44*$B$30/100</f>
        <v>24.031749999999999</v>
      </c>
      <c r="H45" s="338"/>
    </row>
    <row r="46" spans="1:14" ht="19.5" customHeight="1" x14ac:dyDescent="0.3">
      <c r="A46" s="505" t="s">
        <v>78</v>
      </c>
      <c r="B46" s="506"/>
      <c r="C46" s="341" t="s">
        <v>79</v>
      </c>
      <c r="D46" s="347">
        <f>D45/$B$45</f>
        <v>1.2734349999999999</v>
      </c>
      <c r="E46" s="348"/>
      <c r="F46" s="349">
        <f>F45/$B$45</f>
        <v>1.2015875</v>
      </c>
      <c r="H46" s="338"/>
    </row>
    <row r="47" spans="1:14" ht="27" customHeight="1" x14ac:dyDescent="0.4">
      <c r="A47" s="507"/>
      <c r="B47" s="508"/>
      <c r="C47" s="350" t="s">
        <v>80</v>
      </c>
      <c r="D47" s="351">
        <v>1.2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24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24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307362252.45566231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6.2469109112926434E-3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Coartem Dispersible tablet contains Artemether 20 mg and Lumefantrine 120 mg.</v>
      </c>
    </row>
    <row r="56" spans="1:12" ht="26.25" customHeight="1" x14ac:dyDescent="0.4">
      <c r="A56" s="365" t="s">
        <v>87</v>
      </c>
      <c r="B56" s="366">
        <v>120</v>
      </c>
      <c r="C56" s="287" t="str">
        <f>B20</f>
        <v>Lumefantrine</v>
      </c>
      <c r="H56" s="367"/>
    </row>
    <row r="57" spans="1:12" ht="18.75" x14ac:dyDescent="0.3">
      <c r="A57" s="364" t="s">
        <v>88</v>
      </c>
      <c r="B57" s="435">
        <f>Uniformity!C46</f>
        <v>286.69199999999995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1</v>
      </c>
      <c r="C60" s="509" t="s">
        <v>94</v>
      </c>
      <c r="D60" s="512">
        <v>292.27999999999997</v>
      </c>
      <c r="E60" s="370">
        <v>1</v>
      </c>
      <c r="F60" s="371">
        <v>313888604</v>
      </c>
      <c r="G60" s="436">
        <f>IF(ISBLANK(F60),"-",(F60/$D$50*$D$47*$B$68)*($B$57/$D$60))</f>
        <v>120.20505737356054</v>
      </c>
      <c r="H60" s="454">
        <f t="shared" ref="H60:H71" si="0">IF(ISBLANK(F60),"-",(G60/$B$56)*100)</f>
        <v>100.17088114463377</v>
      </c>
      <c r="L60" s="300"/>
    </row>
    <row r="61" spans="1:12" s="14" customFormat="1" ht="26.25" customHeight="1" x14ac:dyDescent="0.4">
      <c r="A61" s="312" t="s">
        <v>95</v>
      </c>
      <c r="B61" s="313">
        <v>1</v>
      </c>
      <c r="C61" s="510"/>
      <c r="D61" s="513"/>
      <c r="E61" s="372">
        <v>2</v>
      </c>
      <c r="F61" s="325">
        <v>313144941</v>
      </c>
      <c r="G61" s="437">
        <f>IF(ISBLANK(F61),"-",(F61/$D$50*$D$47*$B$68)*($B$57/$D$60))</f>
        <v>119.92026827181411</v>
      </c>
      <c r="H61" s="455">
        <f t="shared" si="0"/>
        <v>99.93355689317842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10"/>
      <c r="D62" s="513"/>
      <c r="E62" s="372">
        <v>3</v>
      </c>
      <c r="F62" s="373">
        <v>313044060</v>
      </c>
      <c r="G62" s="437">
        <f>IF(ISBLANK(F62),"-",(F62/$D$50*$D$47*$B$68)*($B$57/$D$60))</f>
        <v>119.88163543762272</v>
      </c>
      <c r="H62" s="455">
        <f t="shared" si="0"/>
        <v>99.901362864685595</v>
      </c>
      <c r="L62" s="300"/>
    </row>
    <row r="63" spans="1:12" ht="27" customHeight="1" x14ac:dyDescent="0.4">
      <c r="A63" s="312" t="s">
        <v>97</v>
      </c>
      <c r="B63" s="313">
        <v>1</v>
      </c>
      <c r="C63" s="511"/>
      <c r="D63" s="514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9" t="s">
        <v>99</v>
      </c>
      <c r="D64" s="512">
        <v>281.12</v>
      </c>
      <c r="E64" s="370">
        <v>1</v>
      </c>
      <c r="F64" s="371">
        <v>305790465</v>
      </c>
      <c r="G64" s="436">
        <f>IF(ISBLANK(F64),"-",(F64/$D$50*$D$47*$B$68)*($B$57/$D$64))</f>
        <v>121.75266760315746</v>
      </c>
      <c r="H64" s="454">
        <f t="shared" si="0"/>
        <v>101.46055633596455</v>
      </c>
    </row>
    <row r="65" spans="1:8" ht="26.25" customHeight="1" x14ac:dyDescent="0.4">
      <c r="A65" s="312" t="s">
        <v>100</v>
      </c>
      <c r="B65" s="313">
        <v>1</v>
      </c>
      <c r="C65" s="510"/>
      <c r="D65" s="513"/>
      <c r="E65" s="372">
        <v>2</v>
      </c>
      <c r="F65" s="325">
        <v>307099360</v>
      </c>
      <c r="G65" s="437">
        <f>IF(ISBLANK(F65),"-",(F65/$D$50*$D$47*$B$68)*($B$57/$D$64))</f>
        <v>122.27381353837305</v>
      </c>
      <c r="H65" s="455">
        <f t="shared" si="0"/>
        <v>101.89484461531086</v>
      </c>
    </row>
    <row r="66" spans="1:8" ht="26.25" customHeight="1" x14ac:dyDescent="0.4">
      <c r="A66" s="312" t="s">
        <v>101</v>
      </c>
      <c r="B66" s="313">
        <v>1</v>
      </c>
      <c r="C66" s="510"/>
      <c r="D66" s="513"/>
      <c r="E66" s="372">
        <v>3</v>
      </c>
      <c r="F66" s="325">
        <v>307742498</v>
      </c>
      <c r="G66" s="437">
        <f>IF(ISBLANK(F66),"-",(F66/$D$50*$D$47*$B$68)*($B$57/$D$64))</f>
        <v>122.52988354741326</v>
      </c>
      <c r="H66" s="455">
        <f t="shared" si="0"/>
        <v>102.10823628951104</v>
      </c>
    </row>
    <row r="67" spans="1:8" ht="27" customHeight="1" x14ac:dyDescent="0.4">
      <c r="A67" s="312" t="s">
        <v>102</v>
      </c>
      <c r="B67" s="313">
        <v>1</v>
      </c>
      <c r="C67" s="511"/>
      <c r="D67" s="514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100</v>
      </c>
      <c r="C68" s="509" t="s">
        <v>104</v>
      </c>
      <c r="D68" s="512">
        <v>278.83</v>
      </c>
      <c r="E68" s="370">
        <v>1</v>
      </c>
      <c r="F68" s="371">
        <v>296092233</v>
      </c>
      <c r="G68" s="436">
        <f>IF(ISBLANK(F68),"-",(F68/$D$50*$D$47*$B$68)*($B$57/$D$68))</f>
        <v>118.85947474315843</v>
      </c>
      <c r="H68" s="455">
        <f t="shared" si="0"/>
        <v>99.049562285965351</v>
      </c>
    </row>
    <row r="69" spans="1:8" ht="27" customHeight="1" x14ac:dyDescent="0.4">
      <c r="A69" s="360" t="s">
        <v>105</v>
      </c>
      <c r="B69" s="377">
        <f>(D47*B68)/B56*B57</f>
        <v>286.69199999999995</v>
      </c>
      <c r="C69" s="510"/>
      <c r="D69" s="513"/>
      <c r="E69" s="372">
        <v>2</v>
      </c>
      <c r="F69" s="325">
        <v>295910167</v>
      </c>
      <c r="G69" s="437">
        <f>IF(ISBLANK(F69),"-",(F69/$D$50*$D$47*$B$68)*($B$57/$D$68))</f>
        <v>118.78638849935753</v>
      </c>
      <c r="H69" s="455">
        <f t="shared" si="0"/>
        <v>98.988657082797943</v>
      </c>
    </row>
    <row r="70" spans="1:8" ht="26.25" customHeight="1" x14ac:dyDescent="0.4">
      <c r="A70" s="522" t="s">
        <v>78</v>
      </c>
      <c r="B70" s="523"/>
      <c r="C70" s="510"/>
      <c r="D70" s="513"/>
      <c r="E70" s="372">
        <v>3</v>
      </c>
      <c r="F70" s="325">
        <v>297032711</v>
      </c>
      <c r="G70" s="437">
        <f>IF(ISBLANK(F70),"-",(F70/$D$50*$D$47*$B$68)*($B$57/$D$68))</f>
        <v>119.23700818925694</v>
      </c>
      <c r="H70" s="455">
        <f t="shared" si="0"/>
        <v>99.364173491047453</v>
      </c>
    </row>
    <row r="71" spans="1:8" ht="27" customHeight="1" x14ac:dyDescent="0.4">
      <c r="A71" s="524"/>
      <c r="B71" s="525"/>
      <c r="C71" s="521"/>
      <c r="D71" s="514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120.38291080041267</v>
      </c>
      <c r="H72" s="457">
        <f>AVERAGE(H60:H71)</f>
        <v>100.31909233367725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1.2016586495816196E-2</v>
      </c>
      <c r="H73" s="441">
        <f>STDEV(H60:H71)/H72</f>
        <v>1.2016586495816162E-2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96" t="s">
        <v>106</v>
      </c>
      <c r="B76" s="385" t="s">
        <v>107</v>
      </c>
      <c r="C76" s="517" t="str">
        <f>B26</f>
        <v>Lumefantrine</v>
      </c>
      <c r="D76" s="517"/>
      <c r="E76" s="386" t="s">
        <v>108</v>
      </c>
      <c r="F76" s="386"/>
      <c r="G76" s="473">
        <f>H72</f>
        <v>100.31909233367725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03"/>
      <c r="C79" s="503"/>
    </row>
    <row r="80" spans="1:8" ht="26.25" customHeight="1" x14ac:dyDescent="0.4">
      <c r="A80" s="297" t="s">
        <v>48</v>
      </c>
      <c r="B80" s="503"/>
      <c r="C80" s="503"/>
    </row>
    <row r="81" spans="1:12" ht="27" customHeight="1" x14ac:dyDescent="0.4">
      <c r="A81" s="297" t="s">
        <v>6</v>
      </c>
      <c r="B81" s="389"/>
    </row>
    <row r="82" spans="1:12" s="14" customFormat="1" ht="27" customHeight="1" x14ac:dyDescent="0.4">
      <c r="A82" s="297" t="s">
        <v>49</v>
      </c>
      <c r="B82" s="299">
        <v>0</v>
      </c>
      <c r="C82" s="494" t="s">
        <v>50</v>
      </c>
      <c r="D82" s="495"/>
      <c r="E82" s="495"/>
      <c r="F82" s="495"/>
      <c r="G82" s="496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0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497" t="s">
        <v>111</v>
      </c>
      <c r="D84" s="498"/>
      <c r="E84" s="498"/>
      <c r="F84" s="498"/>
      <c r="G84" s="498"/>
      <c r="H84" s="499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497" t="s">
        <v>112</v>
      </c>
      <c r="D85" s="498"/>
      <c r="E85" s="498"/>
      <c r="F85" s="498"/>
      <c r="G85" s="498"/>
      <c r="H85" s="499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1</v>
      </c>
      <c r="D89" s="390" t="s">
        <v>59</v>
      </c>
      <c r="E89" s="391"/>
      <c r="F89" s="500" t="s">
        <v>60</v>
      </c>
      <c r="G89" s="502"/>
    </row>
    <row r="90" spans="1:12" ht="27" customHeight="1" x14ac:dyDescent="0.4">
      <c r="A90" s="312" t="s">
        <v>61</v>
      </c>
      <c r="B90" s="313">
        <v>1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</v>
      </c>
      <c r="C91" s="394">
        <v>1</v>
      </c>
      <c r="D91" s="320"/>
      <c r="E91" s="321" t="str">
        <f>IF(ISBLANK(D91),"-",$D$101/$D$98*D91)</f>
        <v>-</v>
      </c>
      <c r="F91" s="320"/>
      <c r="G91" s="322" t="str">
        <f>IF(ISBLANK(F91),"-",$D$101/$F$98*F91)</f>
        <v>-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/>
      <c r="E92" s="326" t="str">
        <f>IF(ISBLANK(D92),"-",$D$101/$D$98*D92)</f>
        <v>-</v>
      </c>
      <c r="F92" s="325"/>
      <c r="G92" s="327" t="str">
        <f>IF(ISBLANK(F92),"-",$D$101/$F$98*F92)</f>
        <v>-</v>
      </c>
      <c r="I92" s="504" t="e">
        <f>ABS((F96/D96*D95)-F95)/D95</f>
        <v>#DIV/0!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/>
      <c r="E93" s="326" t="str">
        <f>IF(ISBLANK(D93),"-",$D$101/$D$98*D93)</f>
        <v>-</v>
      </c>
      <c r="F93" s="325"/>
      <c r="G93" s="327" t="str">
        <f>IF(ISBLANK(F93),"-",$D$101/$F$98*F93)</f>
        <v>-</v>
      </c>
      <c r="I93" s="504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 t="e">
        <f>AVERAGE(D91:D94)</f>
        <v>#DIV/0!</v>
      </c>
      <c r="E95" s="336" t="e">
        <f>AVERAGE(E91:E94)</f>
        <v>#DIV/0!</v>
      </c>
      <c r="F95" s="399" t="e">
        <f>AVERAGE(F91:F94)</f>
        <v>#DIV/0!</v>
      </c>
      <c r="G95" s="400" t="e">
        <f>AVERAGE(G91:G94)</f>
        <v>#DIV/0!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/>
      <c r="E96" s="328"/>
      <c r="F96" s="340"/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0</v>
      </c>
      <c r="E97" s="343"/>
      <c r="F97" s="342">
        <f>F96*$B$87</f>
        <v>0</v>
      </c>
    </row>
    <row r="98" spans="1:10" ht="19.5" customHeight="1" x14ac:dyDescent="0.3">
      <c r="A98" s="312" t="s">
        <v>76</v>
      </c>
      <c r="B98" s="405">
        <f>(B97/B96)*(B95/B94)*(B93/B92)*(B91/B90)*B89</f>
        <v>1</v>
      </c>
      <c r="C98" s="403" t="s">
        <v>115</v>
      </c>
      <c r="D98" s="406">
        <f>D97*$B$83/100</f>
        <v>0</v>
      </c>
      <c r="E98" s="346"/>
      <c r="F98" s="345">
        <f>F97*$B$83/100</f>
        <v>0</v>
      </c>
    </row>
    <row r="99" spans="1:10" ht="19.5" customHeight="1" x14ac:dyDescent="0.3">
      <c r="A99" s="505" t="s">
        <v>78</v>
      </c>
      <c r="B99" s="519"/>
      <c r="C99" s="403" t="s">
        <v>116</v>
      </c>
      <c r="D99" s="407">
        <f>D98/$B$98</f>
        <v>0</v>
      </c>
      <c r="E99" s="346"/>
      <c r="F99" s="349">
        <f>F98/$B$98</f>
        <v>0</v>
      </c>
      <c r="G99" s="408"/>
      <c r="H99" s="338"/>
    </row>
    <row r="100" spans="1:10" ht="19.5" customHeight="1" x14ac:dyDescent="0.3">
      <c r="A100" s="507"/>
      <c r="B100" s="520"/>
      <c r="C100" s="403" t="s">
        <v>80</v>
      </c>
      <c r="D100" s="409">
        <f>$B$56/$B$116</f>
        <v>120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120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120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 t="e">
        <f>AVERAGE(E91:E94,G91:G94)</f>
        <v>#DIV/0!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 t="e">
        <f>STDEV(E91:E94,G91:G94)/D103</f>
        <v>#DIV/0!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0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1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/>
      <c r="E108" s="438" t="str">
        <f t="shared" ref="E108:E113" si="1">IF(ISBLANK(D108),"-",D108/$D$103*$D$100*$B$116)</f>
        <v>-</v>
      </c>
      <c r="F108" s="465" t="str">
        <f t="shared" ref="F108:F113" si="2">IF(ISBLANK(D108), "-", (E108/$B$56)*100)</f>
        <v>-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/>
      <c r="E109" s="439" t="str">
        <f t="shared" si="1"/>
        <v>-</v>
      </c>
      <c r="F109" s="466" t="str">
        <f t="shared" si="2"/>
        <v>-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/>
      <c r="E110" s="439" t="str">
        <f t="shared" si="1"/>
        <v>-</v>
      </c>
      <c r="F110" s="466" t="str">
        <f t="shared" si="2"/>
        <v>-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/>
      <c r="E111" s="439" t="str">
        <f t="shared" si="1"/>
        <v>-</v>
      </c>
      <c r="F111" s="466" t="str">
        <f t="shared" si="2"/>
        <v>-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/>
      <c r="E112" s="439" t="str">
        <f t="shared" si="1"/>
        <v>-</v>
      </c>
      <c r="F112" s="466" t="str">
        <f t="shared" si="2"/>
        <v>-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/>
      <c r="E113" s="440" t="str">
        <f t="shared" si="1"/>
        <v>-</v>
      </c>
      <c r="F113" s="467" t="str">
        <f t="shared" si="2"/>
        <v>-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 t="e">
        <f>AVERAGE(E108:E113)</f>
        <v>#DIV/0!</v>
      </c>
      <c r="F115" s="469" t="e">
        <f>AVERAGE(F108:F113)</f>
        <v>#DIV/0!</v>
      </c>
    </row>
    <row r="116" spans="1:10" ht="27" customHeight="1" x14ac:dyDescent="0.4">
      <c r="A116" s="312" t="s">
        <v>103</v>
      </c>
      <c r="B116" s="344">
        <f>(B115/B114)*(B113/B112)*(B111/B110)*(B109/B108)*B107</f>
        <v>1</v>
      </c>
      <c r="C116" s="422"/>
      <c r="D116" s="446" t="s">
        <v>84</v>
      </c>
      <c r="E116" s="444" t="e">
        <f>STDEV(E108:E113)/E115</f>
        <v>#DIV/0!</v>
      </c>
      <c r="F116" s="423" t="e">
        <f>STDEV(F108:F113)/F115</f>
        <v>#DIV/0!</v>
      </c>
      <c r="I116" s="286"/>
    </row>
    <row r="117" spans="1:10" ht="27" customHeight="1" x14ac:dyDescent="0.4">
      <c r="A117" s="505" t="s">
        <v>78</v>
      </c>
      <c r="B117" s="506"/>
      <c r="C117" s="424"/>
      <c r="D117" s="383" t="s">
        <v>20</v>
      </c>
      <c r="E117" s="449">
        <f>COUNT(E108:E113)</f>
        <v>0</v>
      </c>
      <c r="F117" s="450">
        <f>COUNT(F108:F113)</f>
        <v>0</v>
      </c>
      <c r="I117" s="286"/>
      <c r="J117" s="417"/>
    </row>
    <row r="118" spans="1:10" ht="26.25" customHeight="1" x14ac:dyDescent="0.3">
      <c r="A118" s="507"/>
      <c r="B118" s="508"/>
      <c r="C118" s="286"/>
      <c r="D118" s="448"/>
      <c r="E118" s="485" t="s">
        <v>123</v>
      </c>
      <c r="F118" s="486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0</v>
      </c>
      <c r="F119" s="470">
        <f>MIN(F108:F113)</f>
        <v>0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0</v>
      </c>
      <c r="F120" s="471">
        <f>MAX(F108:F113)</f>
        <v>0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517" t="str">
        <f>B26</f>
        <v>Lumefantrine</v>
      </c>
      <c r="D124" s="517"/>
      <c r="E124" s="386" t="s">
        <v>127</v>
      </c>
      <c r="F124" s="386"/>
      <c r="G124" s="472" t="e">
        <f>F115</f>
        <v>#DIV/0!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0</v>
      </c>
      <c r="E125" s="397" t="s">
        <v>130</v>
      </c>
      <c r="F125" s="472">
        <f>MAX(F108:F113)</f>
        <v>0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518" t="s">
        <v>26</v>
      </c>
      <c r="C127" s="518"/>
      <c r="E127" s="392" t="s">
        <v>27</v>
      </c>
      <c r="F127" s="427"/>
      <c r="G127" s="518" t="s">
        <v>28</v>
      </c>
      <c r="H127" s="518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Artemether</vt:lpstr>
      <vt:lpstr>SST Lumefantrine</vt:lpstr>
      <vt:lpstr>Uniformity</vt:lpstr>
      <vt:lpstr>Artemether</vt:lpstr>
      <vt:lpstr>Lumefantrine</vt:lpstr>
      <vt:lpstr>Artemether!Print_Area</vt:lpstr>
      <vt:lpstr>Lumefantrine!Print_Area</vt:lpstr>
      <vt:lpstr>'SST Artemether'!Print_Area</vt:lpstr>
      <vt:lpstr>'SST Lumefantrine'!Print_Area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2018-03-16T09:10:23Z</cp:lastPrinted>
  <dcterms:created xsi:type="dcterms:W3CDTF">2005-07-05T10:19:27Z</dcterms:created>
  <dcterms:modified xsi:type="dcterms:W3CDTF">2018-03-21T09:12:07Z</dcterms:modified>
</cp:coreProperties>
</file>