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1840" windowHeight="10680" activeTab="3"/>
  </bookViews>
  <sheets>
    <sheet name="SST Artemether" sheetId="5" r:id="rId1"/>
    <sheet name="SST Lumefantrine" sheetId="6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Artemether!$A$1:$I$130</definedName>
    <definedName name="_xlnm.Print_Area" localSheetId="4">Lumefantrine!$A$1:$I$129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C50" i="2"/>
  <c r="D49" i="2"/>
  <c r="C46" i="2"/>
  <c r="B49" i="2" s="1"/>
  <c r="C45" i="2"/>
  <c r="D43" i="2"/>
  <c r="D40" i="2"/>
  <c r="D39" i="2"/>
  <c r="D35" i="2"/>
  <c r="D34" i="2"/>
  <c r="D31" i="2"/>
  <c r="D29" i="2"/>
  <c r="D27" i="2"/>
  <c r="D26" i="2"/>
  <c r="D25" i="2"/>
  <c r="C19" i="2"/>
  <c r="I92" i="3" l="1"/>
  <c r="B69" i="3"/>
  <c r="F45" i="3"/>
  <c r="F46" i="3" s="1"/>
  <c r="D45" i="4"/>
  <c r="D46" i="4" s="1"/>
  <c r="F44" i="4"/>
  <c r="F45" i="4" s="1"/>
  <c r="F46" i="4" s="1"/>
  <c r="D101" i="4"/>
  <c r="D102" i="4" s="1"/>
  <c r="D97" i="4"/>
  <c r="D98" i="4" s="1"/>
  <c r="D99" i="4" s="1"/>
  <c r="E41" i="4"/>
  <c r="G41" i="4"/>
  <c r="D32" i="2"/>
  <c r="D36" i="2"/>
  <c r="D41" i="2"/>
  <c r="D50" i="2"/>
  <c r="I39" i="3"/>
  <c r="D101" i="3"/>
  <c r="D102" i="3" s="1"/>
  <c r="I39" i="4"/>
  <c r="B69" i="4"/>
  <c r="F98" i="4"/>
  <c r="F99" i="4" s="1"/>
  <c r="D24" i="2"/>
  <c r="D28" i="2"/>
  <c r="D33" i="2"/>
  <c r="D37" i="2"/>
  <c r="D42" i="2"/>
  <c r="C49" i="2"/>
  <c r="D44" i="3"/>
  <c r="D45" i="3" s="1"/>
  <c r="D46" i="3" s="1"/>
  <c r="I92" i="4"/>
  <c r="D49" i="3"/>
  <c r="F98" i="3"/>
  <c r="F99" i="3" s="1"/>
  <c r="G64" i="4"/>
  <c r="H64" i="4" s="1"/>
  <c r="G65" i="4"/>
  <c r="H65" i="4" s="1"/>
  <c r="G61" i="4"/>
  <c r="H61" i="4" s="1"/>
  <c r="G68" i="4"/>
  <c r="H68" i="4" s="1"/>
  <c r="G70" i="4"/>
  <c r="H70" i="4" s="1"/>
  <c r="G67" i="4"/>
  <c r="H67" i="4" s="1"/>
  <c r="G63" i="4"/>
  <c r="H63" i="4" s="1"/>
  <c r="G66" i="4"/>
  <c r="H66" i="4" s="1"/>
  <c r="G62" i="4"/>
  <c r="H62" i="4" s="1"/>
  <c r="E92" i="4"/>
  <c r="G91" i="4"/>
  <c r="G38" i="4"/>
  <c r="D97" i="3"/>
  <c r="D98" i="3" s="1"/>
  <c r="D99" i="3" s="1"/>
  <c r="D49" i="4"/>
  <c r="D30" i="2"/>
  <c r="D38" i="2"/>
  <c r="G40" i="4" l="1"/>
  <c r="G42" i="4" s="1"/>
  <c r="G39" i="4"/>
  <c r="E38" i="4"/>
  <c r="E39" i="4"/>
  <c r="E40" i="4"/>
  <c r="D52" i="4" s="1"/>
  <c r="E41" i="3"/>
  <c r="G38" i="3"/>
  <c r="E40" i="3"/>
  <c r="G39" i="3"/>
  <c r="G41" i="3"/>
  <c r="G94" i="3"/>
  <c r="E39" i="3"/>
  <c r="G40" i="3"/>
  <c r="G93" i="3"/>
  <c r="E42" i="4"/>
  <c r="G93" i="4"/>
  <c r="E94" i="4"/>
  <c r="E91" i="4"/>
  <c r="E93" i="4"/>
  <c r="G94" i="4"/>
  <c r="G91" i="3"/>
  <c r="G92" i="4"/>
  <c r="G69" i="4"/>
  <c r="H69" i="4" s="1"/>
  <c r="G71" i="4"/>
  <c r="H71" i="4" s="1"/>
  <c r="E38" i="3"/>
  <c r="E91" i="3"/>
  <c r="E92" i="3"/>
  <c r="E93" i="3"/>
  <c r="G92" i="3"/>
  <c r="E94" i="3"/>
  <c r="D50" i="4" l="1"/>
  <c r="G60" i="4" s="1"/>
  <c r="E95" i="3"/>
  <c r="E42" i="3"/>
  <c r="G42" i="3"/>
  <c r="D103" i="3"/>
  <c r="E112" i="3" s="1"/>
  <c r="F112" i="3" s="1"/>
  <c r="G95" i="3"/>
  <c r="D50" i="3"/>
  <c r="G69" i="3" s="1"/>
  <c r="H69" i="3" s="1"/>
  <c r="D51" i="4"/>
  <c r="G95" i="4"/>
  <c r="D103" i="4"/>
  <c r="E108" i="4" s="1"/>
  <c r="D105" i="4"/>
  <c r="E95" i="4"/>
  <c r="D52" i="3"/>
  <c r="D105" i="3"/>
  <c r="G72" i="4" l="1"/>
  <c r="G73" i="4" s="1"/>
  <c r="H60" i="4"/>
  <c r="G74" i="4"/>
  <c r="E111" i="3"/>
  <c r="F111" i="3" s="1"/>
  <c r="D104" i="3"/>
  <c r="E109" i="3"/>
  <c r="F109" i="3" s="1"/>
  <c r="E113" i="3"/>
  <c r="F113" i="3" s="1"/>
  <c r="G67" i="3"/>
  <c r="H67" i="3" s="1"/>
  <c r="D51" i="3"/>
  <c r="G68" i="3"/>
  <c r="H68" i="3" s="1"/>
  <c r="G70" i="3"/>
  <c r="H70" i="3" s="1"/>
  <c r="G62" i="3"/>
  <c r="H62" i="3" s="1"/>
  <c r="G64" i="3"/>
  <c r="H64" i="3" s="1"/>
  <c r="G65" i="3"/>
  <c r="H65" i="3" s="1"/>
  <c r="G63" i="3"/>
  <c r="H63" i="3" s="1"/>
  <c r="G71" i="3"/>
  <c r="H71" i="3" s="1"/>
  <c r="G66" i="3"/>
  <c r="H66" i="3" s="1"/>
  <c r="G60" i="3"/>
  <c r="G61" i="3"/>
  <c r="H61" i="3" s="1"/>
  <c r="E108" i="3"/>
  <c r="E110" i="3"/>
  <c r="F110" i="3" s="1"/>
  <c r="D104" i="4"/>
  <c r="E112" i="4"/>
  <c r="F112" i="4" s="1"/>
  <c r="E109" i="4"/>
  <c r="F109" i="4" s="1"/>
  <c r="E110" i="4"/>
  <c r="F110" i="4" s="1"/>
  <c r="E111" i="4"/>
  <c r="F111" i="4" s="1"/>
  <c r="E113" i="4"/>
  <c r="F113" i="4" s="1"/>
  <c r="F108" i="4"/>
  <c r="H74" i="4" l="1"/>
  <c r="H72" i="4"/>
  <c r="E115" i="3"/>
  <c r="E116" i="3" s="1"/>
  <c r="F108" i="3"/>
  <c r="D125" i="3" s="1"/>
  <c r="G72" i="3"/>
  <c r="G73" i="3" s="1"/>
  <c r="G74" i="3"/>
  <c r="H60" i="3"/>
  <c r="H74" i="3" s="1"/>
  <c r="E117" i="3"/>
  <c r="E119" i="3"/>
  <c r="E120" i="3"/>
  <c r="E119" i="4"/>
  <c r="E115" i="4"/>
  <c r="E116" i="4" s="1"/>
  <c r="E120" i="4"/>
  <c r="E117" i="4"/>
  <c r="F125" i="4"/>
  <c r="F117" i="4"/>
  <c r="D125" i="4"/>
  <c r="F120" i="4"/>
  <c r="F115" i="4"/>
  <c r="F119" i="4"/>
  <c r="G76" i="4" l="1"/>
  <c r="H73" i="4"/>
  <c r="F115" i="3"/>
  <c r="G124" i="3" s="1"/>
  <c r="F117" i="3"/>
  <c r="F125" i="3"/>
  <c r="F120" i="3"/>
  <c r="F119" i="3"/>
  <c r="H72" i="3"/>
  <c r="G76" i="3" s="1"/>
  <c r="G124" i="4"/>
  <c r="F116" i="4"/>
  <c r="F116" i="3" l="1"/>
  <c r="H73" i="3"/>
</calcChain>
</file>

<file path=xl/sharedStrings.xml><?xml version="1.0" encoding="utf-8"?>
<sst xmlns="http://schemas.openxmlformats.org/spreadsheetml/2006/main" count="450" uniqueCount="138">
  <si>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</si>
  <si>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</si>
  <si>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</si>
  <si>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</si>
  <si>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</si>
  <si>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</si>
  <si>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</si>
  <si>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NDQB201709183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</si>
  <si>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</si>
  <si>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</si>
  <si>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</si>
  <si>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</si>
  <si>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09:05:08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</si>
  <si>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</si>
  <si>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</si>
  <si>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</si>
  <si>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</si>
  <si>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</si>
  <si>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</si>
  <si>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</si>
  <si>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</si>
  <si>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</si>
  <si>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</si>
  <si>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</si>
  <si>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</si>
  <si>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</si>
  <si>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</si>
  <si>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</si>
  <si>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</si>
  <si>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</si>
  <si>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</si>
  <si>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</si>
  <si>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</si>
  <si>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</si>
  <si>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</si>
  <si>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</si>
  <si>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</si>
  <si>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</si>
  <si>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</si>
  <si>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</si>
  <si>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</si>
  <si>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</si>
  <si>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</si>
  <si>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</si>
  <si>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</si>
  <si>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</si>
  <si>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</si>
  <si>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</si>
  <si>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</si>
  <si>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</si>
  <si>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</si>
  <si>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</si>
  <si>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</si>
  <si>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</si>
  <si>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</si>
  <si>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</si>
  <si>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</si>
  <si>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</si>
  <si>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</si>
  <si>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</si>
  <si>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</si>
  <si>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</si>
  <si>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</si>
  <si>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</si>
  <si>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</si>
  <si>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</si>
  <si>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</si>
  <si>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</si>
  <si>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</si>
  <si>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</si>
  <si>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</si>
  <si>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</si>
  <si>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</si>
  <si>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</si>
  <si>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</si>
  <si>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</si>
  <si>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</si>
  <si>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</si>
  <si>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</si>
  <si>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</si>
  <si>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</si>
  <si>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</si>
  <si>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</si>
  <si>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</si>
  <si>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</si>
  <si>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</si>
  <si>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</si>
  <si>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</si>
  <si>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</si>
  <si>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</si>
  <si>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</si>
  <si>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</si>
  <si>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</si>
  <si>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</si>
  <si>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</si>
  <si>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</si>
  <si>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</si>
  <si>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</si>
  <si>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</si>
  <si>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</si>
  <si>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</si>
  <si>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</si>
  <si>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</si>
  <si>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</si>
  <si>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</si>
  <si>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</si>
  <si>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</si>
  <si>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</si>
  <si>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</si>
  <si>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</si>
  <si>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</si>
  <si>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</si>
  <si>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</si>
  <si>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</si>
  <si>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</si>
  <si>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</si>
  <si>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</si>
  <si>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</si>
  <si>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</si>
  <si>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</si>
  <si>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</si>
  <si>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</si>
  <si>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</si>
  <si>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</si>
  <si>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</si>
  <si>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</si>
  <si>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</si>
  <si>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</si>
  <si>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</si>
  <si>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</si>
  <si>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</si>
  <si>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</si>
  <si>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A5-10</t>
  </si>
  <si>
    <t>Lumefantrine</t>
  </si>
  <si>
    <t>L1-0</t>
  </si>
  <si>
    <t xml:space="preserve">Artemether 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</si>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</sst>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2" sqref="B2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5</v>
      </c>
      <c r="D17" s="482"/>
      <c r="E17" s="483"/>
    </row>
    <row r="18" spans="1:5" ht="16.5" customHeight="1" x14ac:dyDescent="0.3">
      <c r="A18" s="484" t="s">
        <v>4</v>
      </c>
      <c r="B18" s="481" t="s">
        <v>135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98.932000000000002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11.58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11.58/25*10/20</f>
        <v>0.23159999999999997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752281</v>
      </c>
      <c r="C24" s="490">
        <v>5886.85</v>
      </c>
      <c r="D24" s="491">
        <v>0.91</v>
      </c>
      <c r="E24" s="492">
        <v>3.71</v>
      </c>
    </row>
    <row r="25" spans="1:5" ht="16.5" customHeight="1" x14ac:dyDescent="0.3">
      <c r="A25" s="489">
        <v>2</v>
      </c>
      <c r="B25" s="490">
        <v>756413</v>
      </c>
      <c r="C25" s="490">
        <v>5885.65</v>
      </c>
      <c r="D25" s="491">
        <v>0.91</v>
      </c>
      <c r="E25" s="491">
        <v>3.71</v>
      </c>
    </row>
    <row r="26" spans="1:5" ht="16.5" customHeight="1" x14ac:dyDescent="0.3">
      <c r="A26" s="489">
        <v>3</v>
      </c>
      <c r="B26" s="490">
        <v>755285</v>
      </c>
      <c r="C26" s="490">
        <v>5850.89</v>
      </c>
      <c r="D26" s="491">
        <v>0.93</v>
      </c>
      <c r="E26" s="491">
        <v>3.71</v>
      </c>
    </row>
    <row r="27" spans="1:5" ht="16.5" customHeight="1" x14ac:dyDescent="0.3">
      <c r="A27" s="489">
        <v>4</v>
      </c>
      <c r="B27" s="490">
        <v>740759</v>
      </c>
      <c r="C27" s="490">
        <v>5887.47</v>
      </c>
      <c r="D27" s="491">
        <v>0.91</v>
      </c>
      <c r="E27" s="491">
        <v>3.71</v>
      </c>
    </row>
    <row r="28" spans="1:5" ht="16.5" customHeight="1" x14ac:dyDescent="0.3">
      <c r="A28" s="489">
        <v>5</v>
      </c>
      <c r="B28" s="490">
        <v>752761</v>
      </c>
      <c r="C28" s="490">
        <v>5858.93</v>
      </c>
      <c r="D28" s="491">
        <v>0.92</v>
      </c>
      <c r="E28" s="491">
        <v>3.71</v>
      </c>
    </row>
    <row r="29" spans="1:5" ht="16.5" customHeight="1" x14ac:dyDescent="0.3">
      <c r="A29" s="489">
        <v>6</v>
      </c>
      <c r="B29" s="493">
        <v>756617</v>
      </c>
      <c r="C29" s="493">
        <v>5856.88</v>
      </c>
      <c r="D29" s="494">
        <v>0.91</v>
      </c>
      <c r="E29" s="494">
        <v>3.71</v>
      </c>
    </row>
    <row r="30" spans="1:5" ht="16.5" customHeight="1" x14ac:dyDescent="0.3">
      <c r="A30" s="495" t="s">
        <v>18</v>
      </c>
      <c r="B30" s="496">
        <f>AVERAGE(B24:B29)</f>
        <v>752352.66666666663</v>
      </c>
      <c r="C30" s="497">
        <f>AVERAGE(C24:C29)</f>
        <v>5871.1116666666667</v>
      </c>
      <c r="D30" s="498">
        <f>AVERAGE(D24:D29)</f>
        <v>0.91500000000000004</v>
      </c>
      <c r="E30" s="498">
        <f>AVERAGE(E24:E29)</f>
        <v>3.7100000000000004</v>
      </c>
    </row>
    <row r="31" spans="1:5" ht="16.5" customHeight="1" x14ac:dyDescent="0.3">
      <c r="A31" s="499" t="s">
        <v>19</v>
      </c>
      <c r="B31" s="500">
        <f>(STDEV(B24:B29)/B30)</f>
        <v>7.9273100441263639E-3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136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 t="s">
        <v>137</v>
      </c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22" sqref="B2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5</v>
      </c>
      <c r="D17" s="482"/>
      <c r="E17" s="483"/>
    </row>
    <row r="18" spans="1:5" ht="16.5" customHeight="1" x14ac:dyDescent="0.3">
      <c r="A18" s="484" t="s">
        <v>4</v>
      </c>
      <c r="B18" s="481" t="s">
        <v>133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99.1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25.7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25.7/20</f>
        <v>1.2849999999999999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323327859</v>
      </c>
      <c r="C24" s="490">
        <v>1382.69</v>
      </c>
      <c r="D24" s="491">
        <v>3.57</v>
      </c>
      <c r="E24" s="492">
        <v>6.01</v>
      </c>
    </row>
    <row r="25" spans="1:5" ht="16.5" customHeight="1" x14ac:dyDescent="0.3">
      <c r="A25" s="489">
        <v>2</v>
      </c>
      <c r="B25" s="490">
        <v>325480076</v>
      </c>
      <c r="C25" s="490">
        <v>1375.63</v>
      </c>
      <c r="D25" s="491">
        <v>3.57</v>
      </c>
      <c r="E25" s="491">
        <v>6.01</v>
      </c>
    </row>
    <row r="26" spans="1:5" ht="16.5" customHeight="1" x14ac:dyDescent="0.3">
      <c r="A26" s="489">
        <v>3</v>
      </c>
      <c r="B26" s="490">
        <v>323815879</v>
      </c>
      <c r="C26" s="490">
        <v>1380.06</v>
      </c>
      <c r="D26" s="491">
        <v>3.55</v>
      </c>
      <c r="E26" s="491">
        <v>6.02</v>
      </c>
    </row>
    <row r="27" spans="1:5" ht="16.5" customHeight="1" x14ac:dyDescent="0.3">
      <c r="A27" s="489">
        <v>4</v>
      </c>
      <c r="B27" s="490">
        <v>318919198</v>
      </c>
      <c r="C27" s="490">
        <v>1388.85</v>
      </c>
      <c r="D27" s="491">
        <v>3.47</v>
      </c>
      <c r="E27" s="491">
        <v>6.02</v>
      </c>
    </row>
    <row r="28" spans="1:5" ht="16.5" customHeight="1" x14ac:dyDescent="0.3">
      <c r="A28" s="489">
        <v>5</v>
      </c>
      <c r="B28" s="490">
        <v>323470579</v>
      </c>
      <c r="C28" s="490">
        <v>1379.26</v>
      </c>
      <c r="D28" s="491">
        <v>3.56</v>
      </c>
      <c r="E28" s="491">
        <v>6.02</v>
      </c>
    </row>
    <row r="29" spans="1:5" ht="16.5" customHeight="1" x14ac:dyDescent="0.3">
      <c r="A29" s="489">
        <v>6</v>
      </c>
      <c r="B29" s="493">
        <v>325376741</v>
      </c>
      <c r="C29" s="493">
        <v>1370.29</v>
      </c>
      <c r="D29" s="494">
        <v>3.51</v>
      </c>
      <c r="E29" s="494">
        <v>6.02</v>
      </c>
    </row>
    <row r="30" spans="1:5" ht="16.5" customHeight="1" x14ac:dyDescent="0.3">
      <c r="A30" s="495" t="s">
        <v>18</v>
      </c>
      <c r="B30" s="496">
        <f>AVERAGE(B24:B29)</f>
        <v>323398388.66666669</v>
      </c>
      <c r="C30" s="497">
        <f>AVERAGE(C24:C29)</f>
        <v>1379.4633333333331</v>
      </c>
      <c r="D30" s="498">
        <f>AVERAGE(D24:D29)</f>
        <v>3.5383333333333327</v>
      </c>
      <c r="E30" s="498">
        <f>AVERAGE(E24:E29)</f>
        <v>6.0166666666666657</v>
      </c>
    </row>
    <row r="31" spans="1:5" ht="16.5" customHeight="1" x14ac:dyDescent="0.3">
      <c r="A31" s="499" t="s">
        <v>19</v>
      </c>
      <c r="B31" s="500">
        <f>(STDEV(B24:B29)/B30)</f>
        <v>7.3817777896149793E-3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136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 t="s">
        <v>137</v>
      </c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4" sqref="D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288.7</v>
      </c>
      <c r="D24" s="39">
        <f t="shared" ref="D24:D43" si="0">(C24-$C$46)/$C$46</f>
        <v>4.7033480251330011E-3</v>
      </c>
      <c r="E24" s="5"/>
    </row>
    <row r="25" spans="1:5" ht="15.75" customHeight="1" x14ac:dyDescent="0.3">
      <c r="C25" s="47">
        <v>287.69</v>
      </c>
      <c r="D25" s="40">
        <f t="shared" si="0"/>
        <v>1.1884523496727474E-3</v>
      </c>
      <c r="E25" s="5"/>
    </row>
    <row r="26" spans="1:5" ht="15.75" customHeight="1" x14ac:dyDescent="0.3">
      <c r="C26" s="47">
        <v>287.91000000000003</v>
      </c>
      <c r="D26" s="40">
        <f t="shared" si="0"/>
        <v>1.9540731898721126E-3</v>
      </c>
      <c r="E26" s="5"/>
    </row>
    <row r="27" spans="1:5" ht="15.75" customHeight="1" x14ac:dyDescent="0.3">
      <c r="C27" s="47">
        <v>288.55</v>
      </c>
      <c r="D27" s="40">
        <f t="shared" si="0"/>
        <v>4.1813338159063049E-3</v>
      </c>
      <c r="E27" s="5"/>
    </row>
    <row r="28" spans="1:5" ht="15.75" customHeight="1" x14ac:dyDescent="0.3">
      <c r="C28" s="47">
        <v>288.45999999999998</v>
      </c>
      <c r="D28" s="40">
        <f t="shared" si="0"/>
        <v>3.8681252903701295E-3</v>
      </c>
      <c r="E28" s="5"/>
    </row>
    <row r="29" spans="1:5" ht="15.75" customHeight="1" x14ac:dyDescent="0.3">
      <c r="C29" s="47">
        <v>287.38</v>
      </c>
      <c r="D29" s="40">
        <f t="shared" si="0"/>
        <v>1.0962298393740436E-4</v>
      </c>
      <c r="E29" s="5"/>
    </row>
    <row r="30" spans="1:5" ht="15.75" customHeight="1" x14ac:dyDescent="0.3">
      <c r="C30" s="47">
        <v>284.38</v>
      </c>
      <c r="D30" s="40">
        <f t="shared" si="0"/>
        <v>-1.0330661200598097E-2</v>
      </c>
      <c r="E30" s="5"/>
    </row>
    <row r="31" spans="1:5" ht="15.75" customHeight="1" x14ac:dyDescent="0.3">
      <c r="C31" s="47">
        <v>290.94</v>
      </c>
      <c r="D31" s="40">
        <f t="shared" si="0"/>
        <v>1.2498760216252873E-2</v>
      </c>
      <c r="E31" s="5"/>
    </row>
    <row r="32" spans="1:5" ht="15.75" customHeight="1" x14ac:dyDescent="0.3">
      <c r="C32" s="47">
        <v>288.42</v>
      </c>
      <c r="D32" s="40">
        <f t="shared" si="0"/>
        <v>3.7289215012431161E-3</v>
      </c>
      <c r="E32" s="5"/>
    </row>
    <row r="33" spans="1:7" ht="15.75" customHeight="1" x14ac:dyDescent="0.3">
      <c r="C33" s="47">
        <v>285.33999999999997</v>
      </c>
      <c r="D33" s="40">
        <f t="shared" si="0"/>
        <v>-6.9897702615468078E-3</v>
      </c>
      <c r="E33" s="5"/>
    </row>
    <row r="34" spans="1:7" ht="15.75" customHeight="1" x14ac:dyDescent="0.3">
      <c r="C34" s="47">
        <v>287.56</v>
      </c>
      <c r="D34" s="40">
        <f t="shared" si="0"/>
        <v>7.3604003500955817E-4</v>
      </c>
      <c r="E34" s="5"/>
    </row>
    <row r="35" spans="1:7" ht="15.75" customHeight="1" x14ac:dyDescent="0.3">
      <c r="C35" s="47">
        <v>286.89999999999998</v>
      </c>
      <c r="D35" s="40">
        <f t="shared" si="0"/>
        <v>-1.5608224855883392E-3</v>
      </c>
      <c r="E35" s="5"/>
    </row>
    <row r="36" spans="1:7" ht="15.75" customHeight="1" x14ac:dyDescent="0.3">
      <c r="C36" s="47">
        <v>285.56</v>
      </c>
      <c r="D36" s="40">
        <f t="shared" si="0"/>
        <v>-6.2241494213474422E-3</v>
      </c>
      <c r="E36" s="5"/>
    </row>
    <row r="37" spans="1:7" ht="15.75" customHeight="1" x14ac:dyDescent="0.3">
      <c r="C37" s="47">
        <v>283.74</v>
      </c>
      <c r="D37" s="40">
        <f t="shared" si="0"/>
        <v>-1.255792182663229E-2</v>
      </c>
      <c r="E37" s="5"/>
    </row>
    <row r="38" spans="1:7" ht="15.75" customHeight="1" x14ac:dyDescent="0.3">
      <c r="C38" s="47">
        <v>284.99</v>
      </c>
      <c r="D38" s="40">
        <f t="shared" si="0"/>
        <v>-8.2078034164091637E-3</v>
      </c>
      <c r="E38" s="5"/>
    </row>
    <row r="39" spans="1:7" ht="15.75" customHeight="1" x14ac:dyDescent="0.3">
      <c r="C39" s="47">
        <v>289.26</v>
      </c>
      <c r="D39" s="40">
        <f t="shared" si="0"/>
        <v>6.652201072912969E-3</v>
      </c>
      <c r="E39" s="5"/>
    </row>
    <row r="40" spans="1:7" ht="15.75" customHeight="1" x14ac:dyDescent="0.3">
      <c r="C40" s="47">
        <v>288.55</v>
      </c>
      <c r="D40" s="40">
        <f t="shared" si="0"/>
        <v>4.1813338159063049E-3</v>
      </c>
      <c r="E40" s="5"/>
    </row>
    <row r="41" spans="1:7" ht="15.75" customHeight="1" x14ac:dyDescent="0.3">
      <c r="C41" s="47">
        <v>287.67</v>
      </c>
      <c r="D41" s="40">
        <f t="shared" si="0"/>
        <v>1.1188504551092407E-3</v>
      </c>
      <c r="E41" s="5"/>
    </row>
    <row r="42" spans="1:7" ht="15.75" customHeight="1" x14ac:dyDescent="0.3">
      <c r="C42" s="47">
        <v>288.48</v>
      </c>
      <c r="D42" s="40">
        <f t="shared" si="0"/>
        <v>3.9377271849338341E-3</v>
      </c>
      <c r="E42" s="5"/>
    </row>
    <row r="43" spans="1:7" ht="16.5" customHeight="1" x14ac:dyDescent="0.3">
      <c r="C43" s="48">
        <v>286.49</v>
      </c>
      <c r="D43" s="41">
        <f t="shared" si="0"/>
        <v>-2.9876613241414133E-3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5746.9700000000012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287.34850000000006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287.34850000000006</v>
      </c>
      <c r="C49" s="45">
        <f>-IF(C46&lt;=80,10%,IF(C46&lt;250,7.5%,5%))</f>
        <v>-0.05</v>
      </c>
      <c r="D49" s="33">
        <f>IF(C46&lt;=80,C46*0.9,IF(C46&lt;250,C46*0.925,C46*0.95))</f>
        <v>272.98107500000003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301.71592500000008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" zoomScale="50" zoomScaleNormal="40" zoomScalePageLayoutView="50" workbookViewId="0">
      <selection activeCell="B15" sqref="B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131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245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131</v>
      </c>
      <c r="C26" s="436"/>
    </row>
    <row r="27" spans="1:14" ht="26.25" customHeight="1" x14ac:dyDescent="0.4">
      <c r="A27" s="61" t="s">
        <v>48</v>
      </c>
      <c r="B27" s="442" t="s">
        <v>132</v>
      </c>
      <c r="C27" s="442"/>
    </row>
    <row r="28" spans="1:14" ht="27" customHeight="1" x14ac:dyDescent="0.4">
      <c r="A28" s="61" t="s">
        <v>6</v>
      </c>
      <c r="B28" s="62">
        <v>98.391999999999996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98.391999999999996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752051</v>
      </c>
      <c r="E38" s="85">
        <f>IF(ISBLANK(D38),"-",$D$48/$D$45*D38)</f>
        <v>660053.20651060424</v>
      </c>
      <c r="F38" s="84">
        <v>685432</v>
      </c>
      <c r="G38" s="86">
        <f>IF(ISBLANK(F38),"-",$D$48/$F$45*F38)</f>
        <v>671130.89852849231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753742</v>
      </c>
      <c r="E39" s="90">
        <f>IF(ISBLANK(D39),"-",$D$48/$D$45*D39)</f>
        <v>661537.34784172336</v>
      </c>
      <c r="F39" s="89">
        <v>681456</v>
      </c>
      <c r="G39" s="91">
        <f>IF(ISBLANK(F39),"-",$D$48/$F$45*F39)</f>
        <v>667237.85523236764</v>
      </c>
      <c r="I39" s="453">
        <f>ABS((F43/D43*D42)-F42)/D42</f>
        <v>9.9304825922551226E-3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755968</v>
      </c>
      <c r="E40" s="90">
        <f>IF(ISBLANK(D40),"-",$D$48/$D$45*D40)</f>
        <v>663491.04305347439</v>
      </c>
      <c r="F40" s="89">
        <v>682954</v>
      </c>
      <c r="G40" s="91">
        <f>IF(ISBLANK(F40),"-",$D$48/$F$45*F40)</f>
        <v>668704.60041787941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753920.33333333337</v>
      </c>
      <c r="E42" s="100">
        <f>AVERAGE(E38:E41)</f>
        <v>661693.86580193404</v>
      </c>
      <c r="F42" s="99">
        <f>AVERAGE(F38:F41)</f>
        <v>683280.66666666663</v>
      </c>
      <c r="G42" s="101">
        <f>AVERAGE(G38:G41)</f>
        <v>669024.45139291312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11.58</v>
      </c>
      <c r="E43" s="92"/>
      <c r="F43" s="104">
        <v>10.38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11.58</v>
      </c>
      <c r="E44" s="107"/>
      <c r="F44" s="106">
        <f>F43*$B$34</f>
        <v>10.38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11.393793599999999</v>
      </c>
      <c r="E45" s="110"/>
      <c r="F45" s="109">
        <f>F44*$B$30/100</f>
        <v>10.2130896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0.22787587199999998</v>
      </c>
      <c r="E46" s="112"/>
      <c r="F46" s="113">
        <f>F45/$B$45</f>
        <v>0.204261792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665359.15859742358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6.5264517497144172E-3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Coartem Dispersible tablet contains Artemether 20 mg and Lumefantrine 120 mg.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>Artemether</v>
      </c>
      <c r="H56" s="131"/>
    </row>
    <row r="57" spans="1:12" ht="18.75" x14ac:dyDescent="0.3">
      <c r="A57" s="128" t="s">
        <v>88</v>
      </c>
      <c r="B57" s="199">
        <f>Uniformity!C46</f>
        <v>287.34850000000006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58" t="s">
        <v>94</v>
      </c>
      <c r="D60" s="461">
        <v>291.72000000000003</v>
      </c>
      <c r="E60" s="134">
        <v>1</v>
      </c>
      <c r="F60" s="135">
        <v>618170</v>
      </c>
      <c r="G60" s="200">
        <f>IF(ISBLANK(F60),"-",(F60/$D$50*$D$47*$B$68)*($B$57/$D$60))</f>
        <v>18.303094022464311</v>
      </c>
      <c r="H60" s="218">
        <f t="shared" ref="H60:H71" si="0">IF(ISBLANK(F60),"-",(G60/$B$56)*100)</f>
        <v>91.515470112321552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459"/>
      <c r="D61" s="462"/>
      <c r="E61" s="136">
        <v>2</v>
      </c>
      <c r="F61" s="89">
        <v>617770</v>
      </c>
      <c r="G61" s="201">
        <f>IF(ISBLANK(F61),"-",(F61/$D$50*$D$47*$B$68)*($B$57/$D$60))</f>
        <v>18.291250617561154</v>
      </c>
      <c r="H61" s="219">
        <f t="shared" si="0"/>
        <v>91.456253087805777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619021</v>
      </c>
      <c r="G62" s="201">
        <f>IF(ISBLANK(F62),"-",(F62/$D$50*$D$47*$B$68)*($B$57/$D$60))</f>
        <v>18.328290866395783</v>
      </c>
      <c r="H62" s="219">
        <f t="shared" si="0"/>
        <v>91.641454331978906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288.99</v>
      </c>
      <c r="E64" s="134">
        <v>1</v>
      </c>
      <c r="F64" s="135">
        <v>618433</v>
      </c>
      <c r="G64" s="200">
        <f>IF(ISBLANK(F64),"-",(F64/$D$50*$D$47*$B$68)*($B$57/$D$64))</f>
        <v>18.483858345166976</v>
      </c>
      <c r="H64" s="218">
        <f t="shared" si="0"/>
        <v>92.419291725834867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615581</v>
      </c>
      <c r="G65" s="201">
        <f>IF(ISBLANK(F65),"-",(F65/$D$50*$D$47*$B$68)*($B$57/$D$64))</f>
        <v>18.398617156549268</v>
      </c>
      <c r="H65" s="219">
        <f t="shared" si="0"/>
        <v>91.993085782746348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614605</v>
      </c>
      <c r="G66" s="201">
        <f>IF(ISBLANK(F66),"-",(F66/$D$50*$D$47*$B$68)*($B$57/$D$64))</f>
        <v>18.369446258901689</v>
      </c>
      <c r="H66" s="219">
        <f t="shared" si="0"/>
        <v>91.847231294508447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458" t="s">
        <v>104</v>
      </c>
      <c r="D68" s="461">
        <v>282.81</v>
      </c>
      <c r="E68" s="134">
        <v>1</v>
      </c>
      <c r="F68" s="135">
        <v>601193</v>
      </c>
      <c r="G68" s="200">
        <f>IF(ISBLANK(F68),"-",(F68/$D$50*$D$47*$B$68)*($B$57/$D$68))</f>
        <v>18.361237332459744</v>
      </c>
      <c r="H68" s="219">
        <f t="shared" si="0"/>
        <v>91.806186662298714</v>
      </c>
    </row>
    <row r="69" spans="1:8" ht="27" customHeight="1" x14ac:dyDescent="0.4">
      <c r="A69" s="124" t="s">
        <v>105</v>
      </c>
      <c r="B69" s="141">
        <f>(D47*B68)/B56*B57</f>
        <v>287.34850000000006</v>
      </c>
      <c r="C69" s="459"/>
      <c r="D69" s="462"/>
      <c r="E69" s="136">
        <v>2</v>
      </c>
      <c r="F69" s="89">
        <v>598721</v>
      </c>
      <c r="G69" s="201">
        <f>IF(ISBLANK(F69),"-",(F69/$D$50*$D$47*$B$68)*($B$57/$D$68))</f>
        <v>18.285739150202399</v>
      </c>
      <c r="H69" s="219">
        <f t="shared" si="0"/>
        <v>91.428695751012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597790</v>
      </c>
      <c r="G70" s="201">
        <f>IF(ISBLANK(F70),"-",(F70/$D$50*$D$47*$B$68)*($B$57/$D$68))</f>
        <v>18.257305166512438</v>
      </c>
      <c r="H70" s="219">
        <f t="shared" si="0"/>
        <v>91.286525832562191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18.342093212912644</v>
      </c>
      <c r="H72" s="221">
        <f>AVERAGE(H60:H71)</f>
        <v>91.710466064563192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3.8099371351131045E-3</v>
      </c>
      <c r="H73" s="205">
        <f>STDEV(H60:H71)/H72</f>
        <v>3.8099371351130789E-3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>Artemether</v>
      </c>
      <c r="D76" s="466"/>
      <c r="E76" s="150" t="s">
        <v>108</v>
      </c>
      <c r="F76" s="150"/>
      <c r="G76" s="237">
        <f>H72</f>
        <v>91.710466064563192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>Artemether</v>
      </c>
      <c r="C79" s="452"/>
    </row>
    <row r="80" spans="1:8" ht="26.25" customHeight="1" x14ac:dyDescent="0.4">
      <c r="A80" s="61" t="s">
        <v>48</v>
      </c>
      <c r="B80" s="452" t="str">
        <f>B27</f>
        <v>A5-10</v>
      </c>
      <c r="C80" s="452"/>
    </row>
    <row r="81" spans="1:12" ht="27" customHeight="1" x14ac:dyDescent="0.4">
      <c r="A81" s="61" t="s">
        <v>6</v>
      </c>
      <c r="B81" s="153">
        <f>B28</f>
        <v>98.391999999999996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98.391999999999996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>Artemether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0" zoomScaleNormal="40" zoomScalePageLayoutView="50" workbookViewId="0">
      <selection activeCell="B15" sqref="B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133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41" t="s">
        <v>133</v>
      </c>
      <c r="C26" s="441"/>
    </row>
    <row r="27" spans="1:14" ht="26.25" customHeight="1" x14ac:dyDescent="0.4">
      <c r="A27" s="249" t="s">
        <v>48</v>
      </c>
      <c r="B27" s="442" t="s">
        <v>134</v>
      </c>
      <c r="C27" s="442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323559275</v>
      </c>
      <c r="E38" s="273">
        <f>IF(ISBLANK(D38),"-",$D$48/$D$45*D38)</f>
        <v>304900627.0441758</v>
      </c>
      <c r="F38" s="272">
        <v>309784182</v>
      </c>
      <c r="G38" s="274">
        <f>IF(ISBLANK(F38),"-",$D$48/$F$45*F38)</f>
        <v>309374904.78221524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324867789</v>
      </c>
      <c r="E39" s="278">
        <f>IF(ISBLANK(D39),"-",$D$48/$D$45*D39)</f>
        <v>306133683.14833504</v>
      </c>
      <c r="F39" s="277">
        <v>308595245</v>
      </c>
      <c r="G39" s="279">
        <f>IF(ISBLANK(F39),"-",$D$48/$F$45*F39)</f>
        <v>308187538.56876844</v>
      </c>
      <c r="I39" s="453">
        <f>ABS((F43/D43*D42)-F42)/D42</f>
        <v>1.0211258260761356E-2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324821397</v>
      </c>
      <c r="E40" s="278">
        <f>IF(ISBLANK(D40),"-",$D$48/$D$45*D40)</f>
        <v>306089966.42938197</v>
      </c>
      <c r="F40" s="277">
        <v>309896220</v>
      </c>
      <c r="G40" s="279">
        <f>IF(ISBLANK(F40),"-",$D$48/$F$45*F40)</f>
        <v>309486794.76109731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324416153.66666669</v>
      </c>
      <c r="E42" s="288">
        <f>AVERAGE(E38:E41)</f>
        <v>305708092.20729762</v>
      </c>
      <c r="F42" s="287">
        <f>AVERAGE(F38:F41)</f>
        <v>309425215.66666669</v>
      </c>
      <c r="G42" s="289">
        <f>AVERAGE(G38:G41)</f>
        <v>309016412.704027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25.7</v>
      </c>
      <c r="E43" s="280"/>
      <c r="F43" s="292">
        <v>24.25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25.7</v>
      </c>
      <c r="E44" s="295"/>
      <c r="F44" s="294">
        <f>F43*$B$34</f>
        <v>24.25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25.468699999999998</v>
      </c>
      <c r="E45" s="298"/>
      <c r="F45" s="297">
        <f>F44*$B$30/100</f>
        <v>24.031749999999999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1.2734349999999999</v>
      </c>
      <c r="E46" s="300"/>
      <c r="F46" s="301">
        <f>F45/$B$45</f>
        <v>1.2015875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307362252.45566231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6.2469109112926434E-3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Coartem Dispersible tablet contains Artemether 20 mg and Lumefantrine 120 mg.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>Lumefantrine</v>
      </c>
      <c r="H56" s="319"/>
    </row>
    <row r="57" spans="1:12" ht="18.75" x14ac:dyDescent="0.3">
      <c r="A57" s="316" t="s">
        <v>88</v>
      </c>
      <c r="B57" s="387">
        <f>Uniformity!C46</f>
        <v>287.34850000000006</v>
      </c>
      <c r="H57" s="319"/>
    </row>
    <row r="58" spans="1:12" ht="19.5" customHeight="1" x14ac:dyDescent="0.3">
      <c r="H58" s="319"/>
    </row>
    <row r="59" spans="1:12" s="3" customFormat="1" ht="27" customHeight="1" thickBot="1" x14ac:dyDescent="0.45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458" t="s">
        <v>94</v>
      </c>
      <c r="D60" s="461">
        <v>291.72000000000003</v>
      </c>
      <c r="E60" s="322">
        <v>1</v>
      </c>
      <c r="F60" s="323">
        <v>314795390</v>
      </c>
      <c r="G60" s="388">
        <f>IF(ISBLANK(F60),"-",(F60/$D$50*$D$47*$B$68)*($B$57/$D$60))</f>
        <v>121.06031764445571</v>
      </c>
      <c r="H60" s="406">
        <f t="shared" ref="H60:H71" si="0">IF(ISBLANK(F60),"-",(G60/$B$56)*100)</f>
        <v>100.88359803704643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459"/>
      <c r="D61" s="462"/>
      <c r="E61" s="324">
        <v>2</v>
      </c>
      <c r="F61" s="277">
        <v>314240740</v>
      </c>
      <c r="G61" s="389">
        <f>IF(ISBLANK(F61),"-",(F61/$D$50*$D$47*$B$68)*($B$57/$D$60))</f>
        <v>120.84701685507154</v>
      </c>
      <c r="H61" s="407">
        <f t="shared" si="0"/>
        <v>100.70584737922627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315279866</v>
      </c>
      <c r="G62" s="389">
        <f>IF(ISBLANK(F62),"-",(F62/$D$50*$D$47*$B$68)*($B$57/$D$60))</f>
        <v>121.24663174025972</v>
      </c>
      <c r="H62" s="407">
        <f t="shared" si="0"/>
        <v>101.03885978354977</v>
      </c>
      <c r="L62" s="252"/>
    </row>
    <row r="63" spans="1:12" ht="27" customHeight="1" thickBot="1" x14ac:dyDescent="0.45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288.99</v>
      </c>
      <c r="E64" s="322">
        <v>1</v>
      </c>
      <c r="F64" s="323">
        <v>316086369</v>
      </c>
      <c r="G64" s="388">
        <f>IF(ISBLANK(F64),"-",(F64/$D$50*$D$47*$B$68)*($B$57/$D$64))</f>
        <v>122.70509693208251</v>
      </c>
      <c r="H64" s="406">
        <f t="shared" si="0"/>
        <v>102.25424744340211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314963838</v>
      </c>
      <c r="G65" s="389">
        <f>IF(ISBLANK(F65),"-",(F65/$D$50*$D$47*$B$68)*($B$57/$D$64))</f>
        <v>122.26932908926148</v>
      </c>
      <c r="H65" s="407">
        <f t="shared" si="0"/>
        <v>101.89110757438455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314987229</v>
      </c>
      <c r="G66" s="389">
        <f>IF(ISBLANK(F66),"-",(F66/$D$50*$D$47*$B$68)*($B$57/$D$64))</f>
        <v>122.27840950273014</v>
      </c>
      <c r="H66" s="407">
        <f t="shared" si="0"/>
        <v>101.89867458560846</v>
      </c>
    </row>
    <row r="67" spans="1:8" ht="27" customHeight="1" thickBot="1" x14ac:dyDescent="0.45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458" t="s">
        <v>104</v>
      </c>
      <c r="D68" s="461">
        <v>282.81</v>
      </c>
      <c r="E68" s="322">
        <v>1</v>
      </c>
      <c r="F68" s="323">
        <v>305489661</v>
      </c>
      <c r="G68" s="388">
        <f>IF(ISBLANK(F68),"-",(F68/$D$50*$D$47*$B$68)*($B$57/$D$68))</f>
        <v>121.18291778096723</v>
      </c>
      <c r="H68" s="407">
        <f t="shared" si="0"/>
        <v>100.9857648174727</v>
      </c>
    </row>
    <row r="69" spans="1:8" ht="27" customHeight="1" thickBot="1" x14ac:dyDescent="0.45">
      <c r="A69" s="312" t="s">
        <v>105</v>
      </c>
      <c r="B69" s="329">
        <f>(D47*B68)/B56*B57</f>
        <v>287.34850000000006</v>
      </c>
      <c r="C69" s="459"/>
      <c r="D69" s="462"/>
      <c r="E69" s="324">
        <v>2</v>
      </c>
      <c r="F69" s="277">
        <v>305942391</v>
      </c>
      <c r="G69" s="389">
        <f>IF(ISBLANK(F69),"-",(F69/$D$50*$D$47*$B$68)*($B$57/$D$68))</f>
        <v>121.36250861290368</v>
      </c>
      <c r="H69" s="407">
        <f t="shared" si="0"/>
        <v>101.1354238440864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306132203</v>
      </c>
      <c r="G70" s="389">
        <f>IF(ISBLANK(F70),"-",(F70/$D$50*$D$47*$B$68)*($B$57/$D$68))</f>
        <v>121.43780403178806</v>
      </c>
      <c r="H70" s="407">
        <f t="shared" si="0"/>
        <v>101.19817002649005</v>
      </c>
    </row>
    <row r="71" spans="1:8" ht="27" customHeight="1" thickBot="1" x14ac:dyDescent="0.45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121.59889246550223</v>
      </c>
      <c r="H72" s="409">
        <f>AVERAGE(H60:H71)</f>
        <v>101.33241038791853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5.3369330679357181E-3</v>
      </c>
      <c r="H73" s="393">
        <f>STDEV(H60:H71)/H72</f>
        <v>5.3369330679357554E-3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>Lumefantrine</v>
      </c>
      <c r="D76" s="466"/>
      <c r="E76" s="338" t="s">
        <v>108</v>
      </c>
      <c r="F76" s="338"/>
      <c r="G76" s="425">
        <f>H72</f>
        <v>101.33241038791853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>Lumefantrine</v>
      </c>
      <c r="C79" s="452"/>
    </row>
    <row r="80" spans="1:8" ht="26.25" customHeight="1" x14ac:dyDescent="0.4">
      <c r="A80" s="249" t="s">
        <v>48</v>
      </c>
      <c r="B80" s="452" t="str">
        <f>B27</f>
        <v>L1-0</v>
      </c>
      <c r="C80" s="452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>Lumefantrine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2018-03-16T09:11:58Z</cp:lastPrinted>
  <dcterms:created xsi:type="dcterms:W3CDTF">2005-07-05T10:19:27Z</dcterms:created>
  <dcterms:modified xsi:type="dcterms:W3CDTF">2018-03-16T09:35:20Z</dcterms:modified>
</cp:coreProperties>
</file>