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21840" windowHeight="10680" activeTab="4"/>
  </bookViews>
  <sheets>
    <sheet name="SST Artemether" sheetId="5" r:id="rId1"/>
    <sheet name="SST Lumefantrine" sheetId="6" r:id="rId2"/>
    <sheet name="Uniformity" sheetId="2" r:id="rId3"/>
    <sheet name="Artemether" sheetId="3" r:id="rId4"/>
    <sheet name="Lumefantrine" sheetId="4" r:id="rId5"/>
  </sheets>
  <definedNames>
    <definedName name="_xlnm.Print_Area" localSheetId="3">Artemether!$A$1:$I$129</definedName>
    <definedName name="_xlnm.Print_Area" localSheetId="4">Lumefantrine!$A$1:$I$129</definedName>
    <definedName name="_xlnm.Print_Area" localSheetId="0">'SST Artemether'!$A$15:$G$61</definedName>
    <definedName name="_xlnm.Print_Area" localSheetId="1">'SST Lumefantrine'!$A$15:$G$61</definedName>
    <definedName name="_xlnm.Print_Area" localSheetId="2">Uniformity!$A$12:$H$54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 s="1"/>
  <c r="B98" i="4"/>
  <c r="F95" i="4"/>
  <c r="D95" i="4"/>
  <c r="I92" i="4" s="1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 s="1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49" i="2"/>
  <c r="C46" i="2"/>
  <c r="D36" i="2" s="1"/>
  <c r="C45" i="2"/>
  <c r="D39" i="2"/>
  <c r="D33" i="2"/>
  <c r="D30" i="2"/>
  <c r="D29" i="2"/>
  <c r="D24" i="2"/>
  <c r="C19" i="2"/>
  <c r="D101" i="4" l="1"/>
  <c r="D102" i="4" s="1"/>
  <c r="F97" i="4"/>
  <c r="I39" i="4"/>
  <c r="I39" i="3"/>
  <c r="F98" i="4"/>
  <c r="F99" i="4" s="1"/>
  <c r="F45" i="4"/>
  <c r="F46" i="4" s="1"/>
  <c r="D98" i="4"/>
  <c r="D99" i="4" s="1"/>
  <c r="F45" i="3"/>
  <c r="F46" i="3" s="1"/>
  <c r="C50" i="2"/>
  <c r="B57" i="3"/>
  <c r="D101" i="3"/>
  <c r="D35" i="2"/>
  <c r="D40" i="2"/>
  <c r="D25" i="2"/>
  <c r="D31" i="2"/>
  <c r="D37" i="2"/>
  <c r="D41" i="2"/>
  <c r="B49" i="2"/>
  <c r="D44" i="3"/>
  <c r="D45" i="3" s="1"/>
  <c r="E41" i="3" s="1"/>
  <c r="B69" i="3"/>
  <c r="D27" i="2"/>
  <c r="D32" i="2"/>
  <c r="D38" i="2"/>
  <c r="D43" i="2"/>
  <c r="C49" i="2"/>
  <c r="F97" i="3"/>
  <c r="F98" i="3" s="1"/>
  <c r="F99" i="3" s="1"/>
  <c r="D98" i="3"/>
  <c r="D99" i="3" s="1"/>
  <c r="G91" i="4"/>
  <c r="D49" i="4"/>
  <c r="G41" i="4"/>
  <c r="D26" i="2"/>
  <c r="D34" i="2"/>
  <c r="D42" i="2"/>
  <c r="D50" i="2"/>
  <c r="E40" i="3"/>
  <c r="D49" i="3"/>
  <c r="B57" i="4"/>
  <c r="B69" i="4" s="1"/>
  <c r="G38" i="3"/>
  <c r="D28" i="2"/>
  <c r="D44" i="4"/>
  <c r="D45" i="4" s="1"/>
  <c r="D46" i="4" s="1"/>
  <c r="E94" i="4" l="1"/>
  <c r="E93" i="4"/>
  <c r="G92" i="4"/>
  <c r="E91" i="4"/>
  <c r="E95" i="4" s="1"/>
  <c r="E92" i="4"/>
  <c r="G38" i="4"/>
  <c r="G39" i="4"/>
  <c r="G40" i="4"/>
  <c r="G94" i="4"/>
  <c r="G93" i="4"/>
  <c r="E91" i="3"/>
  <c r="G91" i="3"/>
  <c r="G93" i="3"/>
  <c r="E93" i="3"/>
  <c r="E92" i="3"/>
  <c r="E94" i="3"/>
  <c r="D102" i="3"/>
  <c r="D46" i="3"/>
  <c r="E38" i="3"/>
  <c r="G40" i="3"/>
  <c r="E39" i="3"/>
  <c r="G41" i="3"/>
  <c r="G39" i="3"/>
  <c r="G92" i="3"/>
  <c r="E40" i="4"/>
  <c r="G94" i="3"/>
  <c r="D103" i="3" s="1"/>
  <c r="E39" i="4"/>
  <c r="E41" i="4"/>
  <c r="E38" i="4"/>
  <c r="D105" i="4" l="1"/>
  <c r="G42" i="4"/>
  <c r="G95" i="4"/>
  <c r="D103" i="4"/>
  <c r="E109" i="4" s="1"/>
  <c r="F109" i="4" s="1"/>
  <c r="E95" i="3"/>
  <c r="G42" i="3"/>
  <c r="E42" i="3"/>
  <c r="D52" i="3"/>
  <c r="D50" i="3"/>
  <c r="G66" i="3" s="1"/>
  <c r="H66" i="3" s="1"/>
  <c r="D105" i="3"/>
  <c r="G95" i="3"/>
  <c r="D104" i="4"/>
  <c r="D50" i="4"/>
  <c r="E42" i="4"/>
  <c r="D52" i="4"/>
  <c r="E110" i="3"/>
  <c r="F110" i="3" s="1"/>
  <c r="E113" i="3"/>
  <c r="F113" i="3" s="1"/>
  <c r="E109" i="3"/>
  <c r="F109" i="3" s="1"/>
  <c r="E111" i="3"/>
  <c r="F111" i="3" s="1"/>
  <c r="D104" i="3"/>
  <c r="E112" i="3"/>
  <c r="F112" i="3" s="1"/>
  <c r="E108" i="3"/>
  <c r="E113" i="4" l="1"/>
  <c r="F113" i="4" s="1"/>
  <c r="E110" i="4"/>
  <c r="F110" i="4" s="1"/>
  <c r="E111" i="4"/>
  <c r="F111" i="4" s="1"/>
  <c r="E108" i="4"/>
  <c r="F108" i="4" s="1"/>
  <c r="D51" i="3"/>
  <c r="E112" i="4"/>
  <c r="F112" i="4" s="1"/>
  <c r="G63" i="3"/>
  <c r="H63" i="3" s="1"/>
  <c r="G61" i="3"/>
  <c r="H61" i="3" s="1"/>
  <c r="G69" i="3"/>
  <c r="H69" i="3" s="1"/>
  <c r="G64" i="3"/>
  <c r="H64" i="3" s="1"/>
  <c r="G65" i="3"/>
  <c r="H65" i="3" s="1"/>
  <c r="G67" i="3"/>
  <c r="H67" i="3" s="1"/>
  <c r="G68" i="3"/>
  <c r="H68" i="3" s="1"/>
  <c r="G70" i="3"/>
  <c r="H70" i="3" s="1"/>
  <c r="G62" i="3"/>
  <c r="H62" i="3" s="1"/>
  <c r="G71" i="3"/>
  <c r="H71" i="3" s="1"/>
  <c r="G60" i="3"/>
  <c r="H60" i="3" s="1"/>
  <c r="G65" i="4"/>
  <c r="H65" i="4" s="1"/>
  <c r="G61" i="4"/>
  <c r="H61" i="4" s="1"/>
  <c r="G70" i="4"/>
  <c r="H70" i="4" s="1"/>
  <c r="G69" i="4"/>
  <c r="H69" i="4" s="1"/>
  <c r="D51" i="4"/>
  <c r="G68" i="4"/>
  <c r="H68" i="4" s="1"/>
  <c r="G67" i="4"/>
  <c r="H67" i="4" s="1"/>
  <c r="G66" i="4"/>
  <c r="H66" i="4" s="1"/>
  <c r="G71" i="4"/>
  <c r="H71" i="4" s="1"/>
  <c r="G64" i="4"/>
  <c r="H64" i="4" s="1"/>
  <c r="G60" i="4"/>
  <c r="G62" i="4"/>
  <c r="H62" i="4" s="1"/>
  <c r="G63" i="4"/>
  <c r="H63" i="4" s="1"/>
  <c r="E119" i="3"/>
  <c r="E120" i="3"/>
  <c r="E117" i="3"/>
  <c r="F108" i="3"/>
  <c r="E115" i="3"/>
  <c r="E116" i="3" s="1"/>
  <c r="E120" i="4" l="1"/>
  <c r="E119" i="4"/>
  <c r="E117" i="4"/>
  <c r="E115" i="4"/>
  <c r="E116" i="4" s="1"/>
  <c r="G74" i="3"/>
  <c r="G72" i="3"/>
  <c r="G73" i="3" s="1"/>
  <c r="D125" i="4"/>
  <c r="F115" i="4"/>
  <c r="F119" i="4"/>
  <c r="F117" i="4"/>
  <c r="F120" i="4"/>
  <c r="F125" i="4"/>
  <c r="H72" i="3"/>
  <c r="H74" i="3"/>
  <c r="G72" i="4"/>
  <c r="G73" i="4" s="1"/>
  <c r="H60" i="4"/>
  <c r="G74" i="4"/>
  <c r="F125" i="3"/>
  <c r="F117" i="3"/>
  <c r="F119" i="3"/>
  <c r="D125" i="3"/>
  <c r="F120" i="3"/>
  <c r="F115" i="3"/>
  <c r="G76" i="3" l="1"/>
  <c r="H73" i="3"/>
  <c r="G124" i="4"/>
  <c r="F116" i="4"/>
  <c r="H72" i="4"/>
  <c r="H74" i="4"/>
  <c r="G124" i="3"/>
  <c r="F116" i="3"/>
  <c r="G76" i="4" l="1"/>
  <c r="H73" i="4"/>
</calcChain>
</file>

<file path=xl/sharedStrings.xml><?xml version="1.0" encoding="utf-8"?>
<sst xmlns="http://schemas.openxmlformats.org/spreadsheetml/2006/main" count="450" uniqueCount="139">
  <si>
    <t>HPLC System Suitability Report</t>
  </si>
  <si>
    <t>Analysis Data</t>
  </si>
  <si>
    <t>Assay</t>
  </si>
  <si>
    <t>Sample(s)</t>
  </si>
  <si>
    <t>Reference Substance:</t>
  </si>
  <si>
    <t>COARTEM®  DISPERSIBLE 20 mg/ 120 mg TABLETS</t>
  </si>
  <si>
    <t>% age Purity:</t>
  </si>
  <si>
    <t>NDQB201709184</t>
  </si>
  <si>
    <t>Weight (mg):</t>
  </si>
  <si>
    <t>Artemether &amp; Lumefantrine</t>
  </si>
  <si>
    <t>Standard Conc (mg/mL):</t>
  </si>
  <si>
    <t>Each Coartem Dispersible tablet contains Artemether 20 mg and Lumefantrine 120 mg.</t>
  </si>
  <si>
    <t>2017-09-27 09:09:00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</si>
  <si>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</si>
  <si>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</si>
  <si>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</si>
  <si>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</si>
  <si>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</si>
  <si>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</si>
  <si>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</si>
  <si>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</si>
  <si>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</si>
  <si>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</si>
  <si>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</si>
  <si>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</si>
  <si>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</si>
  <si>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</si>
  <si>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</si>
  <si>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</si>
  <si>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</si>
  <si>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</si>
  <si>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</si>
  <si>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</si>
  <si>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</si>
  <si>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</si>
  <si>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</si>
  <si>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</si>
  <si>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</si>
  <si>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</si>
  <si>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</si>
  <si>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</si>
  <si>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</si>
  <si>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</si>
  <si>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</si>
  <si>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</si>
  <si>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</si>
  <si>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</si>
  <si>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</si>
  <si>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</si>
  <si>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</si>
  <si>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</si>
  <si>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</si>
  <si>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</si>
  <si>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</si>
  <si>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</si>
  <si>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</si>
  <si>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</si>
  <si>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</si>
  <si>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</si>
  <si>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</si>
  <si>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</si>
  <si>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</si>
  <si>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</si>
  <si>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</si>
  <si>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</si>
  <si>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</si>
  <si>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</si>
  <si>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</si>
  <si>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</si>
  <si>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</si>
  <si>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</si>
  <si>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</si>
  <si>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</si>
  <si>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</si>
  <si>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</si>
  <si>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</si>
  <si>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</si>
  <si>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</si>
  <si>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</si>
  <si>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</si>
  <si>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</si>
  <si>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</si>
  <si>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</si>
  <si>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</si>
  <si>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</si>
  <si>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</si>
  <si>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</si>
  <si>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</si>
  <si>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</si>
  <si>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</si>
  <si>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</si>
  <si>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</si>
  <si>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</si>
  <si>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</si>
  <si>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</si>
  <si>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</si>
  <si>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</si>
  <si>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</si>
  <si>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</si>
  <si>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</si>
  <si>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</si>
  <si>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</si>
  <si>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</si>
  <si>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</si>
  <si>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</si>
  <si>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</si>
  <si>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</si>
  <si>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</si>
  <si>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</si>
  <si>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</si>
  <si>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</si>
  <si>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</si>
  <si>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</si>
  <si>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</si>
  <si>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</si>
  <si>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</si>
  <si>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</si>
  <si>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</si>
  <si>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</si>
  <si>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</si>
  <si>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</si>
  <si>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</si>
  <si>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</si>
  <si>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</si>
  <si>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</si>
  <si>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</si>
  <si>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</si>
  <si>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</si>
  <si>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</si>
  <si>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</si>
  <si>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</si>
  <si>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</si>
  <si>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A5-10</t>
  </si>
  <si>
    <t xml:space="preserve"> Lumefantrine</t>
  </si>
  <si>
    <t>L1-0</t>
  </si>
  <si>
    <t xml:space="preserve">Artemether </t>
  </si>
  <si>
    <r>
      <t xml:space="preserve">The Assymetry of all peaks were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and </t>
    </r>
    <r>
      <rPr>
        <b/>
        <sz val="12"/>
        <color rgb="FF000000"/>
        <rFont val="Book Antiqua"/>
        <family val="1"/>
      </rPr>
      <t>NMT 4.5</t>
    </r>
  </si>
  <si>
    <t>RUTTO KENNEDY</t>
  </si>
  <si>
    <t>Lumefantrine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</si>
</sst>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4" sqref="B24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5</v>
      </c>
      <c r="D17" s="432"/>
      <c r="E17" s="433"/>
    </row>
    <row r="18" spans="1:5" ht="16.5" customHeight="1" x14ac:dyDescent="0.3">
      <c r="A18" s="434" t="s">
        <v>4</v>
      </c>
      <c r="B18" s="431" t="s">
        <v>135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98.932000000000002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11.58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11.58/25*10/20</f>
        <v>0.23159999999999997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752281</v>
      </c>
      <c r="C24" s="440">
        <v>5886.85</v>
      </c>
      <c r="D24" s="441">
        <v>0.91</v>
      </c>
      <c r="E24" s="442">
        <v>3.71</v>
      </c>
    </row>
    <row r="25" spans="1:5" ht="16.5" customHeight="1" x14ac:dyDescent="0.3">
      <c r="A25" s="439">
        <v>2</v>
      </c>
      <c r="B25" s="440">
        <v>756413</v>
      </c>
      <c r="C25" s="440">
        <v>5885.65</v>
      </c>
      <c r="D25" s="441">
        <v>0.91</v>
      </c>
      <c r="E25" s="441">
        <v>3.71</v>
      </c>
    </row>
    <row r="26" spans="1:5" ht="16.5" customHeight="1" x14ac:dyDescent="0.3">
      <c r="A26" s="439">
        <v>3</v>
      </c>
      <c r="B26" s="440">
        <v>755285</v>
      </c>
      <c r="C26" s="440">
        <v>5850.89</v>
      </c>
      <c r="D26" s="441">
        <v>0.93</v>
      </c>
      <c r="E26" s="441">
        <v>3.71</v>
      </c>
    </row>
    <row r="27" spans="1:5" ht="16.5" customHeight="1" x14ac:dyDescent="0.3">
      <c r="A27" s="439">
        <v>4</v>
      </c>
      <c r="B27" s="440">
        <v>740759</v>
      </c>
      <c r="C27" s="440">
        <v>5887.47</v>
      </c>
      <c r="D27" s="441">
        <v>0.91</v>
      </c>
      <c r="E27" s="441">
        <v>3.71</v>
      </c>
    </row>
    <row r="28" spans="1:5" ht="16.5" customHeight="1" x14ac:dyDescent="0.3">
      <c r="A28" s="439">
        <v>5</v>
      </c>
      <c r="B28" s="440">
        <v>752761</v>
      </c>
      <c r="C28" s="440">
        <v>5858.93</v>
      </c>
      <c r="D28" s="441">
        <v>0.92</v>
      </c>
      <c r="E28" s="441">
        <v>3.71</v>
      </c>
    </row>
    <row r="29" spans="1:5" ht="16.5" customHeight="1" x14ac:dyDescent="0.3">
      <c r="A29" s="439">
        <v>6</v>
      </c>
      <c r="B29" s="443">
        <v>756617</v>
      </c>
      <c r="C29" s="443">
        <v>5856.88</v>
      </c>
      <c r="D29" s="444">
        <v>0.91</v>
      </c>
      <c r="E29" s="444">
        <v>3.71</v>
      </c>
    </row>
    <row r="30" spans="1:5" ht="16.5" customHeight="1" x14ac:dyDescent="0.3">
      <c r="A30" s="445" t="s">
        <v>18</v>
      </c>
      <c r="B30" s="446">
        <f>AVERAGE(B24:B29)</f>
        <v>752352.66666666663</v>
      </c>
      <c r="C30" s="447">
        <f>AVERAGE(C24:C29)</f>
        <v>5871.1116666666667</v>
      </c>
      <c r="D30" s="448">
        <f>AVERAGE(D24:D29)</f>
        <v>0.91500000000000004</v>
      </c>
      <c r="E30" s="448">
        <f>AVERAGE(E24:E29)</f>
        <v>3.7100000000000004</v>
      </c>
    </row>
    <row r="31" spans="1:5" ht="16.5" customHeight="1" x14ac:dyDescent="0.3">
      <c r="A31" s="449" t="s">
        <v>19</v>
      </c>
      <c r="B31" s="450">
        <f>(STDEV(B24:B29)/B30)</f>
        <v>7.9273100441263639E-3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136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471" t="s">
        <v>26</v>
      </c>
      <c r="C59" s="471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 t="s">
        <v>137</v>
      </c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6" sqref="B26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5</v>
      </c>
      <c r="D17" s="432"/>
      <c r="E17" s="433"/>
    </row>
    <row r="18" spans="1:5" ht="16.5" customHeight="1" x14ac:dyDescent="0.3">
      <c r="A18" s="434" t="s">
        <v>4</v>
      </c>
      <c r="B18" s="431" t="s">
        <v>138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99.1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25.7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25.7/20</f>
        <v>1.2849999999999999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323327859</v>
      </c>
      <c r="C24" s="440">
        <v>1382.69</v>
      </c>
      <c r="D24" s="441">
        <v>3.57</v>
      </c>
      <c r="E24" s="442">
        <v>6.01</v>
      </c>
    </row>
    <row r="25" spans="1:5" ht="16.5" customHeight="1" x14ac:dyDescent="0.3">
      <c r="A25" s="439">
        <v>2</v>
      </c>
      <c r="B25" s="440">
        <v>325480076</v>
      </c>
      <c r="C25" s="440">
        <v>1375.63</v>
      </c>
      <c r="D25" s="441">
        <v>3.57</v>
      </c>
      <c r="E25" s="441">
        <v>6.01</v>
      </c>
    </row>
    <row r="26" spans="1:5" ht="16.5" customHeight="1" x14ac:dyDescent="0.3">
      <c r="A26" s="439">
        <v>3</v>
      </c>
      <c r="B26" s="440">
        <v>323815879</v>
      </c>
      <c r="C26" s="440">
        <v>1380.06</v>
      </c>
      <c r="D26" s="441">
        <v>3.55</v>
      </c>
      <c r="E26" s="441">
        <v>6.02</v>
      </c>
    </row>
    <row r="27" spans="1:5" ht="16.5" customHeight="1" x14ac:dyDescent="0.3">
      <c r="A27" s="439">
        <v>4</v>
      </c>
      <c r="B27" s="440">
        <v>318919198</v>
      </c>
      <c r="C27" s="440">
        <v>1388.85</v>
      </c>
      <c r="D27" s="441">
        <v>3.47</v>
      </c>
      <c r="E27" s="441">
        <v>6.02</v>
      </c>
    </row>
    <row r="28" spans="1:5" ht="16.5" customHeight="1" x14ac:dyDescent="0.3">
      <c r="A28" s="439">
        <v>5</v>
      </c>
      <c r="B28" s="440">
        <v>323470579</v>
      </c>
      <c r="C28" s="440">
        <v>1379.26</v>
      </c>
      <c r="D28" s="441">
        <v>3.56</v>
      </c>
      <c r="E28" s="441">
        <v>6.02</v>
      </c>
    </row>
    <row r="29" spans="1:5" ht="16.5" customHeight="1" x14ac:dyDescent="0.3">
      <c r="A29" s="439">
        <v>6</v>
      </c>
      <c r="B29" s="443">
        <v>325376741</v>
      </c>
      <c r="C29" s="443">
        <v>1370.29</v>
      </c>
      <c r="D29" s="444">
        <v>3.51</v>
      </c>
      <c r="E29" s="444">
        <v>6.02</v>
      </c>
    </row>
    <row r="30" spans="1:5" ht="16.5" customHeight="1" x14ac:dyDescent="0.3">
      <c r="A30" s="445" t="s">
        <v>18</v>
      </c>
      <c r="B30" s="446">
        <f>AVERAGE(B24:B29)</f>
        <v>323398388.66666669</v>
      </c>
      <c r="C30" s="447">
        <f>AVERAGE(C24:C29)</f>
        <v>1379.4633333333331</v>
      </c>
      <c r="D30" s="448">
        <f>AVERAGE(D24:D29)</f>
        <v>3.5383333333333327</v>
      </c>
      <c r="E30" s="448">
        <f>AVERAGE(E24:E29)</f>
        <v>6.0166666666666657</v>
      </c>
    </row>
    <row r="31" spans="1:5" ht="16.5" customHeight="1" x14ac:dyDescent="0.3">
      <c r="A31" s="449" t="s">
        <v>19</v>
      </c>
      <c r="B31" s="450">
        <f>(STDEV(B24:B29)/B30)</f>
        <v>7.3817777896149793E-3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136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471" t="s">
        <v>26</v>
      </c>
      <c r="C59" s="471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 t="s">
        <v>137</v>
      </c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E23" sqref="E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43"/>
    </row>
    <row r="12" spans="1:7" ht="16.5" customHeight="1" x14ac:dyDescent="0.3">
      <c r="A12" s="474" t="s">
        <v>32</v>
      </c>
      <c r="B12" s="474"/>
      <c r="C12" s="474"/>
      <c r="D12" s="474"/>
      <c r="E12" s="474"/>
      <c r="F12" s="474"/>
      <c r="G12" s="42"/>
    </row>
    <row r="14" spans="1:7" ht="16.5" customHeight="1" x14ac:dyDescent="0.3">
      <c r="A14" s="479" t="s">
        <v>33</v>
      </c>
      <c r="B14" s="479"/>
      <c r="C14" s="12" t="s">
        <v>5</v>
      </c>
    </row>
    <row r="15" spans="1:7" ht="16.5" customHeight="1" x14ac:dyDescent="0.3">
      <c r="A15" s="479" t="s">
        <v>34</v>
      </c>
      <c r="B15" s="479"/>
      <c r="C15" s="12" t="s">
        <v>7</v>
      </c>
    </row>
    <row r="16" spans="1:7" ht="16.5" customHeight="1" x14ac:dyDescent="0.3">
      <c r="A16" s="479" t="s">
        <v>35</v>
      </c>
      <c r="B16" s="479"/>
      <c r="C16" s="12" t="s">
        <v>9</v>
      </c>
    </row>
    <row r="17" spans="1:5" ht="16.5" customHeight="1" x14ac:dyDescent="0.3">
      <c r="A17" s="479" t="s">
        <v>36</v>
      </c>
      <c r="B17" s="479"/>
      <c r="C17" s="12" t="s">
        <v>11</v>
      </c>
    </row>
    <row r="18" spans="1:5" ht="16.5" customHeight="1" x14ac:dyDescent="0.3">
      <c r="A18" s="479" t="s">
        <v>37</v>
      </c>
      <c r="B18" s="479"/>
      <c r="C18" s="49" t="s">
        <v>12</v>
      </c>
    </row>
    <row r="19" spans="1:5" ht="16.5" customHeight="1" x14ac:dyDescent="0.3">
      <c r="A19" s="479" t="s">
        <v>38</v>
      </c>
      <c r="B19" s="47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4" t="s">
        <v>1</v>
      </c>
      <c r="B21" s="474"/>
      <c r="C21" s="11" t="s">
        <v>39</v>
      </c>
      <c r="D21" s="18"/>
    </row>
    <row r="22" spans="1:5" ht="15.75" customHeight="1" x14ac:dyDescent="0.3">
      <c r="A22" s="478"/>
      <c r="B22" s="478"/>
      <c r="C22" s="9"/>
      <c r="D22" s="478"/>
      <c r="E22" s="47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288.39</v>
      </c>
      <c r="D24" s="39">
        <f t="shared" ref="D24:D43" si="0">(C24-$C$46)/$C$46</f>
        <v>3.0398308268062431E-3</v>
      </c>
      <c r="E24" s="5"/>
    </row>
    <row r="25" spans="1:5" ht="15.75" customHeight="1" x14ac:dyDescent="0.3">
      <c r="C25" s="47">
        <v>284.10000000000002</v>
      </c>
      <c r="D25" s="40">
        <f t="shared" si="0"/>
        <v>-1.1881077922619752E-2</v>
      </c>
      <c r="E25" s="5"/>
    </row>
    <row r="26" spans="1:5" ht="15.75" customHeight="1" x14ac:dyDescent="0.3">
      <c r="C26" s="47">
        <v>288.07</v>
      </c>
      <c r="D26" s="40">
        <f t="shared" si="0"/>
        <v>1.926849288387535E-3</v>
      </c>
      <c r="E26" s="5"/>
    </row>
    <row r="27" spans="1:5" ht="15.75" customHeight="1" x14ac:dyDescent="0.3">
      <c r="C27" s="47">
        <v>285.18</v>
      </c>
      <c r="D27" s="40">
        <f t="shared" si="0"/>
        <v>-8.1247652304565869E-3</v>
      </c>
      <c r="E27" s="5"/>
    </row>
    <row r="28" spans="1:5" ht="15.75" customHeight="1" x14ac:dyDescent="0.3">
      <c r="C28" s="47">
        <v>288.66000000000003</v>
      </c>
      <c r="D28" s="40">
        <f t="shared" si="0"/>
        <v>3.9789089998471822E-3</v>
      </c>
      <c r="E28" s="5"/>
    </row>
    <row r="29" spans="1:5" ht="15.75" customHeight="1" x14ac:dyDescent="0.3">
      <c r="C29" s="47">
        <v>288.25</v>
      </c>
      <c r="D29" s="40">
        <f t="shared" si="0"/>
        <v>2.5529014037480955E-3</v>
      </c>
      <c r="E29" s="5"/>
    </row>
    <row r="30" spans="1:5" ht="15.75" customHeight="1" x14ac:dyDescent="0.3">
      <c r="C30" s="47">
        <v>288.79000000000002</v>
      </c>
      <c r="D30" s="40">
        <f t="shared" si="0"/>
        <v>4.4310577498297759E-3</v>
      </c>
      <c r="E30" s="5"/>
    </row>
    <row r="31" spans="1:5" ht="15.75" customHeight="1" x14ac:dyDescent="0.3">
      <c r="C31" s="47">
        <v>286.45</v>
      </c>
      <c r="D31" s="40">
        <f t="shared" si="0"/>
        <v>-3.7076197498573096E-3</v>
      </c>
      <c r="E31" s="5"/>
    </row>
    <row r="32" spans="1:5" ht="15.75" customHeight="1" x14ac:dyDescent="0.3">
      <c r="C32" s="47">
        <v>289.52999999999997</v>
      </c>
      <c r="D32" s="40">
        <f t="shared" si="0"/>
        <v>7.0048275574229272E-3</v>
      </c>
      <c r="E32" s="5"/>
    </row>
    <row r="33" spans="1:7" ht="15.75" customHeight="1" x14ac:dyDescent="0.3">
      <c r="C33" s="47">
        <v>287.58</v>
      </c>
      <c r="D33" s="40">
        <f t="shared" si="0"/>
        <v>2.2259630768382065E-4</v>
      </c>
      <c r="E33" s="5"/>
    </row>
    <row r="34" spans="1:7" ht="15.75" customHeight="1" x14ac:dyDescent="0.3">
      <c r="C34" s="47">
        <v>285.12</v>
      </c>
      <c r="D34" s="40">
        <f t="shared" si="0"/>
        <v>-8.3334492689101074E-3</v>
      </c>
      <c r="E34" s="5"/>
    </row>
    <row r="35" spans="1:7" ht="15.75" customHeight="1" x14ac:dyDescent="0.3">
      <c r="C35" s="47">
        <v>289.10000000000002</v>
      </c>
      <c r="D35" s="40">
        <f t="shared" si="0"/>
        <v>5.5092586151729303E-3</v>
      </c>
      <c r="E35" s="5"/>
    </row>
    <row r="36" spans="1:7" ht="15.75" customHeight="1" x14ac:dyDescent="0.3">
      <c r="C36" s="47">
        <v>290.33999999999997</v>
      </c>
      <c r="D36" s="40">
        <f t="shared" si="0"/>
        <v>9.8220620765453494E-3</v>
      </c>
      <c r="E36" s="5"/>
    </row>
    <row r="37" spans="1:7" ht="15.75" customHeight="1" x14ac:dyDescent="0.3">
      <c r="C37" s="47">
        <v>286.10000000000002</v>
      </c>
      <c r="D37" s="40">
        <f t="shared" si="0"/>
        <v>-4.9249433075026789E-3</v>
      </c>
      <c r="E37" s="5"/>
    </row>
    <row r="38" spans="1:7" ht="15.75" customHeight="1" x14ac:dyDescent="0.3">
      <c r="C38" s="47">
        <v>284.44</v>
      </c>
      <c r="D38" s="40">
        <f t="shared" si="0"/>
        <v>-1.0698535038049937E-2</v>
      </c>
      <c r="E38" s="5"/>
    </row>
    <row r="39" spans="1:7" ht="15.75" customHeight="1" x14ac:dyDescent="0.3">
      <c r="C39" s="47">
        <v>288.27999999999997</v>
      </c>
      <c r="D39" s="40">
        <f t="shared" si="0"/>
        <v>2.6572434229747565E-3</v>
      </c>
      <c r="E39" s="5"/>
    </row>
    <row r="40" spans="1:7" ht="15.75" customHeight="1" x14ac:dyDescent="0.3">
      <c r="C40" s="47">
        <v>288.25</v>
      </c>
      <c r="D40" s="40">
        <f t="shared" si="0"/>
        <v>2.5529014037480955E-3</v>
      </c>
      <c r="E40" s="5"/>
    </row>
    <row r="41" spans="1:7" ht="15.75" customHeight="1" x14ac:dyDescent="0.3">
      <c r="C41" s="47">
        <v>288.52999999999997</v>
      </c>
      <c r="D41" s="40">
        <f t="shared" si="0"/>
        <v>3.5267602498643908E-3</v>
      </c>
      <c r="E41" s="5"/>
    </row>
    <row r="42" spans="1:7" ht="15.75" customHeight="1" x14ac:dyDescent="0.3">
      <c r="C42" s="47">
        <v>287.33999999999997</v>
      </c>
      <c r="D42" s="40">
        <f t="shared" si="0"/>
        <v>-6.1213984613025965E-4</v>
      </c>
      <c r="E42" s="5"/>
    </row>
    <row r="43" spans="1:7" ht="16.5" customHeight="1" x14ac:dyDescent="0.3">
      <c r="C43" s="48">
        <v>287.82</v>
      </c>
      <c r="D43" s="41">
        <f t="shared" si="0"/>
        <v>1.0573324614979011E-3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5750.3199999999988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287.51599999999996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2">
        <f>C46</f>
        <v>287.51599999999996</v>
      </c>
      <c r="C49" s="45">
        <f>-IF(C46&lt;=80,10%,IF(C46&lt;250,7.5%,5%))</f>
        <v>-0.05</v>
      </c>
      <c r="D49" s="33">
        <f>IF(C46&lt;=80,C46*0.9,IF(C46&lt;250,C46*0.925,C46*0.95))</f>
        <v>273.14019999999994</v>
      </c>
    </row>
    <row r="50" spans="1:6" ht="17.25" customHeight="1" x14ac:dyDescent="0.3">
      <c r="B50" s="473"/>
      <c r="C50" s="46">
        <f>IF(C46&lt;=80, 10%, IF(C46&lt;250, 7.5%, 5%))</f>
        <v>0.05</v>
      </c>
      <c r="D50" s="33">
        <f>IF(C46&lt;=80, C46*1.1, IF(C46&lt;250, C46*1.075, C46*1.05))</f>
        <v>301.89179999999999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17" sqref="A17:H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0" t="s">
        <v>45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46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x14ac:dyDescent="0.3">
      <c r="A15" s="50"/>
    </row>
    <row r="16" spans="1:9" ht="19.5" customHeight="1" x14ac:dyDescent="0.3">
      <c r="A16" s="513" t="s">
        <v>31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47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52" t="s">
        <v>33</v>
      </c>
      <c r="B18" s="512" t="s">
        <v>5</v>
      </c>
      <c r="C18" s="512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17" t="s">
        <v>131</v>
      </c>
      <c r="C20" s="51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17" t="s">
        <v>11</v>
      </c>
      <c r="C21" s="517"/>
      <c r="D21" s="517"/>
      <c r="E21" s="517"/>
      <c r="F21" s="517"/>
      <c r="G21" s="517"/>
      <c r="H21" s="517"/>
      <c r="I21" s="56"/>
    </row>
    <row r="22" spans="1:14" ht="26.25" customHeight="1" x14ac:dyDescent="0.4">
      <c r="A22" s="52" t="s">
        <v>37</v>
      </c>
      <c r="B22" s="57">
        <v>43153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43175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2" t="s">
        <v>131</v>
      </c>
      <c r="C26" s="512"/>
    </row>
    <row r="27" spans="1:14" ht="26.25" customHeight="1" x14ac:dyDescent="0.4">
      <c r="A27" s="61" t="s">
        <v>48</v>
      </c>
      <c r="B27" s="518" t="s">
        <v>132</v>
      </c>
      <c r="C27" s="518"/>
    </row>
    <row r="28" spans="1:14" ht="27" customHeight="1" x14ac:dyDescent="0.4">
      <c r="A28" s="61" t="s">
        <v>6</v>
      </c>
      <c r="B28" s="62">
        <v>98.391999999999996</v>
      </c>
    </row>
    <row r="29" spans="1:14" s="3" customFormat="1" ht="27" customHeight="1" x14ac:dyDescent="0.4">
      <c r="A29" s="61" t="s">
        <v>49</v>
      </c>
      <c r="B29" s="63">
        <v>0</v>
      </c>
      <c r="C29" s="488" t="s">
        <v>50</v>
      </c>
      <c r="D29" s="489"/>
      <c r="E29" s="489"/>
      <c r="F29" s="489"/>
      <c r="G29" s="49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98.391999999999996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1" t="s">
        <v>53</v>
      </c>
      <c r="D31" s="492"/>
      <c r="E31" s="492"/>
      <c r="F31" s="492"/>
      <c r="G31" s="492"/>
      <c r="H31" s="49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1" t="s">
        <v>55</v>
      </c>
      <c r="D32" s="492"/>
      <c r="E32" s="492"/>
      <c r="F32" s="492"/>
      <c r="G32" s="492"/>
      <c r="H32" s="49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94" t="s">
        <v>59</v>
      </c>
      <c r="E36" s="519"/>
      <c r="F36" s="494" t="s">
        <v>60</v>
      </c>
      <c r="G36" s="49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752051</v>
      </c>
      <c r="E38" s="85">
        <f>IF(ISBLANK(D38),"-",$D$48/$D$45*D38)</f>
        <v>660053.20651060424</v>
      </c>
      <c r="F38" s="84">
        <v>685432</v>
      </c>
      <c r="G38" s="86">
        <f>IF(ISBLANK(F38),"-",$D$48/$F$45*F38)</f>
        <v>671130.89852849231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753742</v>
      </c>
      <c r="E39" s="90">
        <f>IF(ISBLANK(D39),"-",$D$48/$D$45*D39)</f>
        <v>661537.34784172336</v>
      </c>
      <c r="F39" s="89">
        <v>681456</v>
      </c>
      <c r="G39" s="91">
        <f>IF(ISBLANK(F39),"-",$D$48/$F$45*F39)</f>
        <v>667237.85523236764</v>
      </c>
      <c r="I39" s="496">
        <f>ABS((F43/D43*D42)-F42)/D42</f>
        <v>9.9304825922551226E-3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755968</v>
      </c>
      <c r="E40" s="90">
        <f>IF(ISBLANK(D40),"-",$D$48/$D$45*D40)</f>
        <v>663491.04305347439</v>
      </c>
      <c r="F40" s="89">
        <v>682954</v>
      </c>
      <c r="G40" s="91">
        <f>IF(ISBLANK(F40),"-",$D$48/$F$45*F40)</f>
        <v>668704.60041787941</v>
      </c>
      <c r="I40" s="496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753920.33333333337</v>
      </c>
      <c r="E42" s="100">
        <f>AVERAGE(E38:E41)</f>
        <v>661693.86580193404</v>
      </c>
      <c r="F42" s="99">
        <f>AVERAGE(F38:F41)</f>
        <v>683280.66666666663</v>
      </c>
      <c r="G42" s="101">
        <f>AVERAGE(G38:G41)</f>
        <v>669024.45139291312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11.58</v>
      </c>
      <c r="E43" s="92"/>
      <c r="F43" s="104">
        <v>10.38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11.58</v>
      </c>
      <c r="E44" s="107"/>
      <c r="F44" s="106">
        <f>F43*$B$34</f>
        <v>10.38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11.393793599999999</v>
      </c>
      <c r="E45" s="110"/>
      <c r="F45" s="109">
        <f>F44*$B$30/100</f>
        <v>10.2130896</v>
      </c>
      <c r="H45" s="102"/>
    </row>
    <row r="46" spans="1:14" ht="19.5" customHeight="1" x14ac:dyDescent="0.3">
      <c r="A46" s="482" t="s">
        <v>78</v>
      </c>
      <c r="B46" s="483"/>
      <c r="C46" s="105" t="s">
        <v>79</v>
      </c>
      <c r="D46" s="111">
        <f>D45/$B$45</f>
        <v>0.22787587199999998</v>
      </c>
      <c r="E46" s="112"/>
      <c r="F46" s="113">
        <f>F45/$B$45</f>
        <v>0.204261792</v>
      </c>
      <c r="H46" s="102"/>
    </row>
    <row r="47" spans="1:14" ht="27" customHeight="1" x14ac:dyDescent="0.4">
      <c r="A47" s="484"/>
      <c r="B47" s="485"/>
      <c r="C47" s="114" t="s">
        <v>80</v>
      </c>
      <c r="D47" s="115">
        <v>0.2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665359.15859742358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6.5264517497144172E-3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Coartem Dispersible tablet contains Artemether 20 mg and Lumefantrine 120 mg.</v>
      </c>
    </row>
    <row r="56" spans="1:12" ht="26.25" customHeight="1" x14ac:dyDescent="0.4">
      <c r="A56" s="129" t="s">
        <v>87</v>
      </c>
      <c r="B56" s="130">
        <v>20</v>
      </c>
      <c r="C56" s="51" t="str">
        <f>B20</f>
        <v>Artemether</v>
      </c>
      <c r="H56" s="131"/>
    </row>
    <row r="57" spans="1:12" ht="18.75" x14ac:dyDescent="0.3">
      <c r="A57" s="128" t="s">
        <v>88</v>
      </c>
      <c r="B57" s="199">
        <f>Uniformity!C46</f>
        <v>287.51599999999996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499" t="s">
        <v>94</v>
      </c>
      <c r="D60" s="502">
        <v>293.22000000000003</v>
      </c>
      <c r="E60" s="134">
        <v>1</v>
      </c>
      <c r="F60" s="135">
        <v>636810</v>
      </c>
      <c r="G60" s="200">
        <f>IF(ISBLANK(F60),"-",(F60/$D$50*$D$47*$B$68)*($B$57/$D$60))</f>
        <v>18.769476479257179</v>
      </c>
      <c r="H60" s="218">
        <f t="shared" ref="H60:H71" si="0">IF(ISBLANK(F60),"-",(G60/$B$56)*100)</f>
        <v>93.847382396285894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500"/>
      <c r="D61" s="503"/>
      <c r="E61" s="136">
        <v>2</v>
      </c>
      <c r="F61" s="89">
        <v>649230</v>
      </c>
      <c r="G61" s="201">
        <f>IF(ISBLANK(F61),"-",(F61/$D$50*$D$47*$B$68)*($B$57/$D$60))</f>
        <v>19.135546261252397</v>
      </c>
      <c r="H61" s="219">
        <f t="shared" si="0"/>
        <v>95.677731306261975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0"/>
      <c r="D62" s="503"/>
      <c r="E62" s="136">
        <v>3</v>
      </c>
      <c r="F62" s="137">
        <v>642050</v>
      </c>
      <c r="G62" s="201">
        <f>IF(ISBLANK(F62),"-",(F62/$D$50*$D$47*$B$68)*($B$57/$D$60))</f>
        <v>18.923921379229395</v>
      </c>
      <c r="H62" s="219">
        <f t="shared" si="0"/>
        <v>94.619606896146962</v>
      </c>
      <c r="L62" s="64"/>
    </row>
    <row r="63" spans="1:12" ht="27" customHeight="1" x14ac:dyDescent="0.4">
      <c r="A63" s="76" t="s">
        <v>97</v>
      </c>
      <c r="B63" s="77">
        <v>1</v>
      </c>
      <c r="C63" s="509"/>
      <c r="D63" s="504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99" t="s">
        <v>99</v>
      </c>
      <c r="D64" s="502">
        <v>285.83999999999997</v>
      </c>
      <c r="E64" s="134">
        <v>1</v>
      </c>
      <c r="F64" s="135">
        <v>614187</v>
      </c>
      <c r="G64" s="200">
        <f>IF(ISBLANK(F64),"-",(F64/$D$50*$D$47*$B$68)*($B$57/$D$64))</f>
        <v>18.570067862304079</v>
      </c>
      <c r="H64" s="218">
        <f t="shared" si="0"/>
        <v>92.850339311520386</v>
      </c>
    </row>
    <row r="65" spans="1:8" ht="26.25" customHeight="1" x14ac:dyDescent="0.4">
      <c r="A65" s="76" t="s">
        <v>100</v>
      </c>
      <c r="B65" s="77">
        <v>1</v>
      </c>
      <c r="C65" s="500"/>
      <c r="D65" s="503"/>
      <c r="E65" s="136">
        <v>2</v>
      </c>
      <c r="F65" s="89">
        <v>607728</v>
      </c>
      <c r="G65" s="201">
        <f>IF(ISBLANK(F65),"-",(F65/$D$50*$D$47*$B$68)*($B$57/$D$64))</f>
        <v>18.374778694147437</v>
      </c>
      <c r="H65" s="219">
        <f t="shared" si="0"/>
        <v>91.873893470737187</v>
      </c>
    </row>
    <row r="66" spans="1:8" ht="26.25" customHeight="1" x14ac:dyDescent="0.4">
      <c r="A66" s="76" t="s">
        <v>101</v>
      </c>
      <c r="B66" s="77">
        <v>1</v>
      </c>
      <c r="C66" s="500"/>
      <c r="D66" s="503"/>
      <c r="E66" s="136">
        <v>3</v>
      </c>
      <c r="F66" s="89">
        <v>603295</v>
      </c>
      <c r="G66" s="201">
        <f>IF(ISBLANK(F66),"-",(F66/$D$50*$D$47*$B$68)*($B$57/$D$64))</f>
        <v>18.240746044753045</v>
      </c>
      <c r="H66" s="219">
        <f t="shared" si="0"/>
        <v>91.20373022376522</v>
      </c>
    </row>
    <row r="67" spans="1:8" ht="27" customHeight="1" x14ac:dyDescent="0.4">
      <c r="A67" s="76" t="s">
        <v>102</v>
      </c>
      <c r="B67" s="77">
        <v>1</v>
      </c>
      <c r="C67" s="509"/>
      <c r="D67" s="504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</v>
      </c>
      <c r="C68" s="499" t="s">
        <v>104</v>
      </c>
      <c r="D68" s="502">
        <v>291.58</v>
      </c>
      <c r="E68" s="134">
        <v>1</v>
      </c>
      <c r="F68" s="135"/>
      <c r="G68" s="200" t="str">
        <f>IF(ISBLANK(F68),"-",(F68/$D$50*$D$47*$B$68)*($B$57/$D$68))</f>
        <v>-</v>
      </c>
      <c r="H68" s="219" t="str">
        <f t="shared" si="0"/>
        <v>-</v>
      </c>
    </row>
    <row r="69" spans="1:8" ht="27" customHeight="1" x14ac:dyDescent="0.4">
      <c r="A69" s="124" t="s">
        <v>105</v>
      </c>
      <c r="B69" s="141">
        <f>(D47*B68)/B56*B57</f>
        <v>287.51599999999996</v>
      </c>
      <c r="C69" s="500"/>
      <c r="D69" s="503"/>
      <c r="E69" s="136">
        <v>2</v>
      </c>
      <c r="F69" s="89"/>
      <c r="G69" s="201" t="str">
        <f>IF(ISBLANK(F69),"-",(F69/$D$50*$D$47*$B$68)*($B$57/$D$68))</f>
        <v>-</v>
      </c>
      <c r="H69" s="219" t="str">
        <f t="shared" si="0"/>
        <v>-</v>
      </c>
    </row>
    <row r="70" spans="1:8" ht="26.25" customHeight="1" x14ac:dyDescent="0.4">
      <c r="A70" s="505" t="s">
        <v>78</v>
      </c>
      <c r="B70" s="506"/>
      <c r="C70" s="500"/>
      <c r="D70" s="503"/>
      <c r="E70" s="136">
        <v>3</v>
      </c>
      <c r="F70" s="89"/>
      <c r="G70" s="201" t="str">
        <f>IF(ISBLANK(F70),"-",(F70/$D$50*$D$47*$B$68)*($B$57/$D$68))</f>
        <v>-</v>
      </c>
      <c r="H70" s="219" t="str">
        <f t="shared" si="0"/>
        <v>-</v>
      </c>
    </row>
    <row r="71" spans="1:8" ht="27" customHeight="1" x14ac:dyDescent="0.4">
      <c r="A71" s="507"/>
      <c r="B71" s="508"/>
      <c r="C71" s="501"/>
      <c r="D71" s="504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18.669089453490589</v>
      </c>
      <c r="H72" s="221">
        <f>AVERAGE(H60:H71)</f>
        <v>93.345447267452926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1.8125082140731479E-2</v>
      </c>
      <c r="H73" s="205">
        <f>STDEV(H60:H71)/H72</f>
        <v>1.8125082140731455E-2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106</v>
      </c>
      <c r="B76" s="149" t="s">
        <v>107</v>
      </c>
      <c r="C76" s="486" t="str">
        <f>B26</f>
        <v>Artemether</v>
      </c>
      <c r="D76" s="486"/>
      <c r="E76" s="150" t="s">
        <v>108</v>
      </c>
      <c r="F76" s="150"/>
      <c r="G76" s="237">
        <f>H72</f>
        <v>93.345447267452926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20" t="str">
        <f>B26</f>
        <v>Artemether</v>
      </c>
      <c r="C79" s="520"/>
    </row>
    <row r="80" spans="1:8" ht="26.25" customHeight="1" x14ac:dyDescent="0.4">
      <c r="A80" s="61" t="s">
        <v>48</v>
      </c>
      <c r="B80" s="520" t="str">
        <f>B27</f>
        <v>A5-10</v>
      </c>
      <c r="C80" s="520"/>
    </row>
    <row r="81" spans="1:12" ht="27" customHeight="1" x14ac:dyDescent="0.4">
      <c r="A81" s="61" t="s">
        <v>6</v>
      </c>
      <c r="B81" s="153">
        <f>B28</f>
        <v>98.391999999999996</v>
      </c>
    </row>
    <row r="82" spans="1:12" s="3" customFormat="1" ht="27" customHeight="1" x14ac:dyDescent="0.4">
      <c r="A82" s="61" t="s">
        <v>49</v>
      </c>
      <c r="B82" s="63">
        <v>0</v>
      </c>
      <c r="C82" s="488" t="s">
        <v>50</v>
      </c>
      <c r="D82" s="489"/>
      <c r="E82" s="489"/>
      <c r="F82" s="489"/>
      <c r="G82" s="49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98.391999999999996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1" t="s">
        <v>111</v>
      </c>
      <c r="D84" s="492"/>
      <c r="E84" s="492"/>
      <c r="F84" s="492"/>
      <c r="G84" s="492"/>
      <c r="H84" s="49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1" t="s">
        <v>112</v>
      </c>
      <c r="D85" s="492"/>
      <c r="E85" s="492"/>
      <c r="F85" s="492"/>
      <c r="G85" s="492"/>
      <c r="H85" s="49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94" t="s">
        <v>60</v>
      </c>
      <c r="G89" s="495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96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96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25.12</v>
      </c>
      <c r="E96" s="92"/>
      <c r="F96" s="104">
        <v>25.78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25.12</v>
      </c>
      <c r="E97" s="107"/>
      <c r="F97" s="106">
        <f>F96*$B$87</f>
        <v>25.78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24.7160704</v>
      </c>
      <c r="E98" s="110"/>
      <c r="F98" s="109">
        <f>F97*$B$83/100</f>
        <v>25.365457599999999</v>
      </c>
    </row>
    <row r="99" spans="1:10" ht="19.5" customHeight="1" x14ac:dyDescent="0.3">
      <c r="A99" s="482" t="s">
        <v>78</v>
      </c>
      <c r="B99" s="497"/>
      <c r="C99" s="167" t="s">
        <v>116</v>
      </c>
      <c r="D99" s="171">
        <f>D98/$B$98</f>
        <v>24.7160704</v>
      </c>
      <c r="E99" s="110"/>
      <c r="F99" s="113">
        <f>F98/$B$98</f>
        <v>25.365457599999999</v>
      </c>
      <c r="G99" s="172"/>
      <c r="H99" s="102"/>
    </row>
    <row r="100" spans="1:10" ht="19.5" customHeight="1" x14ac:dyDescent="0.3">
      <c r="A100" s="484"/>
      <c r="B100" s="498"/>
      <c r="C100" s="167" t="s">
        <v>80</v>
      </c>
      <c r="D100" s="173">
        <f>$B$56/$B$116</f>
        <v>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82" t="s">
        <v>78</v>
      </c>
      <c r="B117" s="483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84"/>
      <c r="B118" s="485"/>
      <c r="C118" s="50"/>
      <c r="D118" s="212"/>
      <c r="E118" s="510" t="s">
        <v>123</v>
      </c>
      <c r="F118" s="511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86" t="str">
        <f>B26</f>
        <v>Artemether</v>
      </c>
      <c r="D124" s="48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87" t="s">
        <v>26</v>
      </c>
      <c r="C127" s="487"/>
      <c r="E127" s="156" t="s">
        <v>27</v>
      </c>
      <c r="F127" s="191"/>
      <c r="G127" s="487" t="s">
        <v>28</v>
      </c>
      <c r="H127" s="48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8" sqref="A8:I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0" t="s">
        <v>45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46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x14ac:dyDescent="0.3">
      <c r="A15" s="238"/>
    </row>
    <row r="16" spans="1:9" ht="19.5" customHeight="1" x14ac:dyDescent="0.3">
      <c r="A16" s="513" t="s">
        <v>31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47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240" t="s">
        <v>33</v>
      </c>
      <c r="B18" s="512" t="s">
        <v>5</v>
      </c>
      <c r="C18" s="512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517" t="s">
        <v>133</v>
      </c>
      <c r="C20" s="517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517" t="s">
        <v>11</v>
      </c>
      <c r="C21" s="517"/>
      <c r="D21" s="517"/>
      <c r="E21" s="517"/>
      <c r="F21" s="517"/>
      <c r="G21" s="517"/>
      <c r="H21" s="517"/>
      <c r="I21" s="244"/>
    </row>
    <row r="22" spans="1:14" ht="26.25" customHeight="1" x14ac:dyDescent="0.4">
      <c r="A22" s="240" t="s">
        <v>37</v>
      </c>
      <c r="B22" s="245">
        <v>43153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43175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512" t="s">
        <v>133</v>
      </c>
      <c r="C26" s="512"/>
    </row>
    <row r="27" spans="1:14" ht="26.25" customHeight="1" x14ac:dyDescent="0.4">
      <c r="A27" s="249" t="s">
        <v>48</v>
      </c>
      <c r="B27" s="518" t="s">
        <v>134</v>
      </c>
      <c r="C27" s="518"/>
    </row>
    <row r="28" spans="1:14" ht="27" customHeight="1" x14ac:dyDescent="0.4">
      <c r="A28" s="249" t="s">
        <v>6</v>
      </c>
      <c r="B28" s="250">
        <v>99.1</v>
      </c>
    </row>
    <row r="29" spans="1:14" s="3" customFormat="1" ht="27" customHeight="1" x14ac:dyDescent="0.4">
      <c r="A29" s="249" t="s">
        <v>49</v>
      </c>
      <c r="B29" s="251">
        <v>0</v>
      </c>
      <c r="C29" s="488" t="s">
        <v>50</v>
      </c>
      <c r="D29" s="489"/>
      <c r="E29" s="489"/>
      <c r="F29" s="489"/>
      <c r="G29" s="490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99.1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1" t="s">
        <v>53</v>
      </c>
      <c r="D31" s="492"/>
      <c r="E31" s="492"/>
      <c r="F31" s="492"/>
      <c r="G31" s="492"/>
      <c r="H31" s="493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1" t="s">
        <v>55</v>
      </c>
      <c r="D32" s="492"/>
      <c r="E32" s="492"/>
      <c r="F32" s="492"/>
      <c r="G32" s="492"/>
      <c r="H32" s="493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94" t="s">
        <v>59</v>
      </c>
      <c r="E36" s="519"/>
      <c r="F36" s="494" t="s">
        <v>60</v>
      </c>
      <c r="G36" s="495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323559275</v>
      </c>
      <c r="E38" s="273">
        <f>IF(ISBLANK(D38),"-",$D$48/$D$45*D38)</f>
        <v>304900627.0441758</v>
      </c>
      <c r="F38" s="272">
        <v>309784182</v>
      </c>
      <c r="G38" s="274">
        <f>IF(ISBLANK(F38),"-",$D$48/$F$45*F38)</f>
        <v>309374904.78221524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324867789</v>
      </c>
      <c r="E39" s="278">
        <f>IF(ISBLANK(D39),"-",$D$48/$D$45*D39)</f>
        <v>306133683.14833504</v>
      </c>
      <c r="F39" s="277">
        <v>308595245</v>
      </c>
      <c r="G39" s="279">
        <f>IF(ISBLANK(F39),"-",$D$48/$F$45*F39)</f>
        <v>308187538.56876844</v>
      </c>
      <c r="I39" s="496">
        <f>ABS((F43/D43*D42)-F42)/D42</f>
        <v>1.0211258260761356E-2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324821397</v>
      </c>
      <c r="E40" s="278">
        <f>IF(ISBLANK(D40),"-",$D$48/$D$45*D40)</f>
        <v>306089966.42938197</v>
      </c>
      <c r="F40" s="277">
        <v>309896220</v>
      </c>
      <c r="G40" s="279">
        <f>IF(ISBLANK(F40),"-",$D$48/$F$45*F40)</f>
        <v>309486794.76109731</v>
      </c>
      <c r="I40" s="496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324416153.66666669</v>
      </c>
      <c r="E42" s="288">
        <f>AVERAGE(E38:E41)</f>
        <v>305708092.20729762</v>
      </c>
      <c r="F42" s="287">
        <f>AVERAGE(F38:F41)</f>
        <v>309425215.66666669</v>
      </c>
      <c r="G42" s="289">
        <f>AVERAGE(G38:G41)</f>
        <v>309016412.704027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25.7</v>
      </c>
      <c r="E43" s="280"/>
      <c r="F43" s="292">
        <v>24.25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25.7</v>
      </c>
      <c r="E44" s="295"/>
      <c r="F44" s="294">
        <f>F43*$B$34</f>
        <v>24.25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20</v>
      </c>
      <c r="C45" s="293" t="s">
        <v>77</v>
      </c>
      <c r="D45" s="297">
        <f>D44*$B$30/100</f>
        <v>25.468699999999998</v>
      </c>
      <c r="E45" s="298"/>
      <c r="F45" s="297">
        <f>F44*$B$30/100</f>
        <v>24.031749999999999</v>
      </c>
      <c r="H45" s="290"/>
    </row>
    <row r="46" spans="1:14" ht="19.5" customHeight="1" x14ac:dyDescent="0.3">
      <c r="A46" s="482" t="s">
        <v>78</v>
      </c>
      <c r="B46" s="483"/>
      <c r="C46" s="293" t="s">
        <v>79</v>
      </c>
      <c r="D46" s="299">
        <f>D45/$B$45</f>
        <v>1.2734349999999999</v>
      </c>
      <c r="E46" s="300"/>
      <c r="F46" s="301">
        <f>F45/$B$45</f>
        <v>1.2015875</v>
      </c>
      <c r="H46" s="290"/>
    </row>
    <row r="47" spans="1:14" ht="27" customHeight="1" x14ac:dyDescent="0.4">
      <c r="A47" s="484"/>
      <c r="B47" s="485"/>
      <c r="C47" s="302" t="s">
        <v>80</v>
      </c>
      <c r="D47" s="303">
        <v>1.2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24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24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307362252.45566231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6.2469109112926434E-3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Coartem Dispersible tablet contains Artemether 20 mg and Lumefantrine 120 mg.</v>
      </c>
    </row>
    <row r="56" spans="1:12" ht="26.25" customHeight="1" x14ac:dyDescent="0.4">
      <c r="A56" s="317" t="s">
        <v>87</v>
      </c>
      <c r="B56" s="318">
        <v>120</v>
      </c>
      <c r="C56" s="239" t="str">
        <f>B20</f>
        <v xml:space="preserve"> Lumefantrine</v>
      </c>
      <c r="H56" s="319"/>
    </row>
    <row r="57" spans="1:12" ht="18.75" x14ac:dyDescent="0.3">
      <c r="A57" s="316" t="s">
        <v>88</v>
      </c>
      <c r="B57" s="387">
        <f>Uniformity!C46</f>
        <v>287.51599999999996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</v>
      </c>
      <c r="C60" s="499" t="s">
        <v>94</v>
      </c>
      <c r="D60" s="502">
        <v>293.22000000000003</v>
      </c>
      <c r="E60" s="322">
        <v>1</v>
      </c>
      <c r="F60" s="323">
        <v>301643027</v>
      </c>
      <c r="G60" s="388">
        <f>IF(ISBLANK(F60),"-",(F60/$D$50*$D$47*$B$68)*($B$57/$D$60))</f>
        <v>115.47618684133712</v>
      </c>
      <c r="H60" s="406">
        <f t="shared" ref="H60:H71" si="0">IF(ISBLANK(F60),"-",(G60/$B$56)*100)</f>
        <v>96.230155701114271</v>
      </c>
      <c r="L60" s="252"/>
    </row>
    <row r="61" spans="1:12" s="3" customFormat="1" ht="26.25" customHeight="1" x14ac:dyDescent="0.4">
      <c r="A61" s="264" t="s">
        <v>95</v>
      </c>
      <c r="B61" s="265">
        <v>1</v>
      </c>
      <c r="C61" s="500"/>
      <c r="D61" s="503"/>
      <c r="E61" s="324">
        <v>2</v>
      </c>
      <c r="F61" s="277">
        <v>307080437</v>
      </c>
      <c r="G61" s="389">
        <f>IF(ISBLANK(F61),"-",(F61/$D$50*$D$47*$B$68)*($B$57/$D$60))</f>
        <v>117.5577578272063</v>
      </c>
      <c r="H61" s="407">
        <f t="shared" si="0"/>
        <v>97.96479818933858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0"/>
      <c r="D62" s="503"/>
      <c r="E62" s="324">
        <v>3</v>
      </c>
      <c r="F62" s="325">
        <v>304151810</v>
      </c>
      <c r="G62" s="389">
        <f>IF(ISBLANK(F62),"-",(F62/$D$50*$D$47*$B$68)*($B$57/$D$60))</f>
        <v>116.43660915685902</v>
      </c>
      <c r="H62" s="407">
        <f t="shared" si="0"/>
        <v>97.030507630715846</v>
      </c>
      <c r="L62" s="252"/>
    </row>
    <row r="63" spans="1:12" ht="27" customHeight="1" x14ac:dyDescent="0.4">
      <c r="A63" s="264" t="s">
        <v>97</v>
      </c>
      <c r="B63" s="265">
        <v>1</v>
      </c>
      <c r="C63" s="509"/>
      <c r="D63" s="504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99" t="s">
        <v>99</v>
      </c>
      <c r="D64" s="502">
        <v>285.83999999999997</v>
      </c>
      <c r="E64" s="322">
        <v>1</v>
      </c>
      <c r="F64" s="323">
        <v>300743750</v>
      </c>
      <c r="G64" s="388">
        <f>IF(ISBLANK(F64),"-",(F64/$D$50*$D$47*$B$68)*($B$57/$D$64))</f>
        <v>118.10447165728546</v>
      </c>
      <c r="H64" s="406">
        <f t="shared" si="0"/>
        <v>98.420393047737889</v>
      </c>
    </row>
    <row r="65" spans="1:8" ht="26.25" customHeight="1" x14ac:dyDescent="0.4">
      <c r="A65" s="264" t="s">
        <v>100</v>
      </c>
      <c r="B65" s="265">
        <v>1</v>
      </c>
      <c r="C65" s="500"/>
      <c r="D65" s="503"/>
      <c r="E65" s="324">
        <v>2</v>
      </c>
      <c r="F65" s="277">
        <v>297060214</v>
      </c>
      <c r="G65" s="389">
        <f>IF(ISBLANK(F65),"-",(F65/$D$50*$D$47*$B$68)*($B$57/$D$64))</f>
        <v>116.65791766203004</v>
      </c>
      <c r="H65" s="407">
        <f t="shared" si="0"/>
        <v>97.214931385025039</v>
      </c>
    </row>
    <row r="66" spans="1:8" ht="26.25" customHeight="1" x14ac:dyDescent="0.4">
      <c r="A66" s="264" t="s">
        <v>101</v>
      </c>
      <c r="B66" s="265">
        <v>1</v>
      </c>
      <c r="C66" s="500"/>
      <c r="D66" s="503"/>
      <c r="E66" s="324">
        <v>3</v>
      </c>
      <c r="F66" s="277">
        <v>295565797</v>
      </c>
      <c r="G66" s="389">
        <f>IF(ISBLANK(F66),"-",(F66/$D$50*$D$47*$B$68)*($B$57/$D$64))</f>
        <v>116.07104817523052</v>
      </c>
      <c r="H66" s="407">
        <f t="shared" si="0"/>
        <v>96.725873479358754</v>
      </c>
    </row>
    <row r="67" spans="1:8" ht="27" customHeight="1" x14ac:dyDescent="0.4">
      <c r="A67" s="264" t="s">
        <v>102</v>
      </c>
      <c r="B67" s="265">
        <v>1</v>
      </c>
      <c r="C67" s="509"/>
      <c r="D67" s="504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</v>
      </c>
      <c r="C68" s="499" t="s">
        <v>104</v>
      </c>
      <c r="D68" s="502">
        <v>291.58</v>
      </c>
      <c r="E68" s="322">
        <v>1</v>
      </c>
      <c r="F68" s="323">
        <v>300085727</v>
      </c>
      <c r="G68" s="388">
        <f>IF(ISBLANK(F68),"-",(F68/$D$50*$D$47*$B$68)*($B$57/$D$68))</f>
        <v>115.52616095411295</v>
      </c>
      <c r="H68" s="407">
        <f t="shared" si="0"/>
        <v>96.271800795094137</v>
      </c>
    </row>
    <row r="69" spans="1:8" ht="27" customHeight="1" x14ac:dyDescent="0.4">
      <c r="A69" s="312" t="s">
        <v>105</v>
      </c>
      <c r="B69" s="329">
        <f>(D47*B68)/B56*B57</f>
        <v>287.51599999999996</v>
      </c>
      <c r="C69" s="500"/>
      <c r="D69" s="503"/>
      <c r="E69" s="324">
        <v>2</v>
      </c>
      <c r="F69" s="277">
        <v>299602947</v>
      </c>
      <c r="G69" s="389">
        <f>IF(ISBLANK(F69),"-",(F69/$D$50*$D$47*$B$68)*($B$57/$D$68))</f>
        <v>115.34030166469256</v>
      </c>
      <c r="H69" s="407">
        <f t="shared" si="0"/>
        <v>96.116918053910467</v>
      </c>
    </row>
    <row r="70" spans="1:8" ht="26.25" customHeight="1" x14ac:dyDescent="0.4">
      <c r="A70" s="505" t="s">
        <v>78</v>
      </c>
      <c r="B70" s="506"/>
      <c r="C70" s="500"/>
      <c r="D70" s="503"/>
      <c r="E70" s="324">
        <v>3</v>
      </c>
      <c r="F70" s="277">
        <v>299174814</v>
      </c>
      <c r="G70" s="389">
        <f>IF(ISBLANK(F70),"-",(F70/$D$50*$D$47*$B$68)*($B$57/$D$68))</f>
        <v>115.17548022395883</v>
      </c>
      <c r="H70" s="407">
        <f t="shared" si="0"/>
        <v>95.979566853299019</v>
      </c>
    </row>
    <row r="71" spans="1:8" ht="27" customHeight="1" x14ac:dyDescent="0.4">
      <c r="A71" s="507"/>
      <c r="B71" s="508"/>
      <c r="C71" s="501"/>
      <c r="D71" s="504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116.26065935141254</v>
      </c>
      <c r="H72" s="409">
        <f>AVERAGE(H60:H71)</f>
        <v>96.883882792843764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8.8589800374225258E-3</v>
      </c>
      <c r="H73" s="393">
        <f>STDEV(H60:H71)/H72</f>
        <v>8.858980037422538E-3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86" t="str">
        <f>B26</f>
        <v xml:space="preserve"> Lumefantrine</v>
      </c>
      <c r="D76" s="486"/>
      <c r="E76" s="338" t="s">
        <v>108</v>
      </c>
      <c r="F76" s="338"/>
      <c r="G76" s="425">
        <f>H72</f>
        <v>96.883882792843764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20" t="str">
        <f>B26</f>
        <v xml:space="preserve"> Lumefantrine</v>
      </c>
      <c r="C79" s="520"/>
    </row>
    <row r="80" spans="1:8" ht="26.25" customHeight="1" x14ac:dyDescent="0.4">
      <c r="A80" s="249" t="s">
        <v>48</v>
      </c>
      <c r="B80" s="520" t="str">
        <f>B27</f>
        <v>L1-0</v>
      </c>
      <c r="C80" s="520"/>
    </row>
    <row r="81" spans="1:12" ht="27" customHeight="1" x14ac:dyDescent="0.4">
      <c r="A81" s="249" t="s">
        <v>6</v>
      </c>
      <c r="B81" s="341">
        <f>B28</f>
        <v>99.1</v>
      </c>
    </row>
    <row r="82" spans="1:12" s="3" customFormat="1" ht="27" customHeight="1" x14ac:dyDescent="0.4">
      <c r="A82" s="249" t="s">
        <v>49</v>
      </c>
      <c r="B82" s="251">
        <v>0</v>
      </c>
      <c r="C82" s="488" t="s">
        <v>50</v>
      </c>
      <c r="D82" s="489"/>
      <c r="E82" s="489"/>
      <c r="F82" s="489"/>
      <c r="G82" s="490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99.1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1" t="s">
        <v>111</v>
      </c>
      <c r="D84" s="492"/>
      <c r="E84" s="492"/>
      <c r="F84" s="492"/>
      <c r="G84" s="492"/>
      <c r="H84" s="493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1" t="s">
        <v>112</v>
      </c>
      <c r="D85" s="492"/>
      <c r="E85" s="492"/>
      <c r="F85" s="492"/>
      <c r="G85" s="492"/>
      <c r="H85" s="493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94" t="s">
        <v>60</v>
      </c>
      <c r="G89" s="495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96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96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25.12</v>
      </c>
      <c r="E96" s="280"/>
      <c r="F96" s="292">
        <v>25.78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25.12</v>
      </c>
      <c r="E97" s="295"/>
      <c r="F97" s="294">
        <f>F96*$B$87</f>
        <v>25.78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24.893919999999998</v>
      </c>
      <c r="E98" s="298"/>
      <c r="F98" s="297">
        <f>F97*$B$83/100</f>
        <v>25.547979999999999</v>
      </c>
    </row>
    <row r="99" spans="1:10" ht="19.5" customHeight="1" x14ac:dyDescent="0.3">
      <c r="A99" s="482" t="s">
        <v>78</v>
      </c>
      <c r="B99" s="497"/>
      <c r="C99" s="355" t="s">
        <v>116</v>
      </c>
      <c r="D99" s="359">
        <f>D98/$B$98</f>
        <v>24.893919999999998</v>
      </c>
      <c r="E99" s="298"/>
      <c r="F99" s="301">
        <f>F98/$B$98</f>
        <v>25.547979999999999</v>
      </c>
      <c r="G99" s="360"/>
      <c r="H99" s="290"/>
    </row>
    <row r="100" spans="1:10" ht="19.5" customHeight="1" x14ac:dyDescent="0.3">
      <c r="A100" s="484"/>
      <c r="B100" s="498"/>
      <c r="C100" s="355" t="s">
        <v>80</v>
      </c>
      <c r="D100" s="361">
        <f>$B$56/$B$116</f>
        <v>120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120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120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82" t="s">
        <v>78</v>
      </c>
      <c r="B117" s="483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84"/>
      <c r="B118" s="485"/>
      <c r="C118" s="238"/>
      <c r="D118" s="400"/>
      <c r="E118" s="510" t="s">
        <v>123</v>
      </c>
      <c r="F118" s="51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86" t="str">
        <f>B26</f>
        <v xml:space="preserve"> Lumefantrine</v>
      </c>
      <c r="D124" s="48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87" t="s">
        <v>26</v>
      </c>
      <c r="C127" s="487"/>
      <c r="E127" s="344" t="s">
        <v>27</v>
      </c>
      <c r="F127" s="379"/>
      <c r="G127" s="487" t="s">
        <v>28</v>
      </c>
      <c r="H127" s="48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Artemether</vt:lpstr>
      <vt:lpstr>SST Lumefantrine</vt:lpstr>
      <vt:lpstr>Uniformity</vt:lpstr>
      <vt:lpstr>Artemether</vt:lpstr>
      <vt:lpstr>Lumefantrine</vt:lpstr>
      <vt:lpstr>Artemether!Print_Area</vt:lpstr>
      <vt:lpstr>Lumefantrine!Print_Area</vt:lpstr>
      <vt:lpstr>'SST Artemether'!Print_Area</vt:lpstr>
      <vt:lpstr>'SST Lumefantrine'!Print_Area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2018-03-20T12:41:53Z</cp:lastPrinted>
  <dcterms:created xsi:type="dcterms:W3CDTF">2005-07-05T10:19:27Z</dcterms:created>
  <dcterms:modified xsi:type="dcterms:W3CDTF">2018-03-20T13:14:14Z</dcterms:modified>
</cp:coreProperties>
</file>