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Artemether" sheetId="5" r:id="rId1"/>
    <sheet name="SST Lumefantrine" sheetId="6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2">Uniformity!$A$12:$H$54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E41" i="4" s="1"/>
  <c r="F42" i="4"/>
  <c r="D42" i="4"/>
  <c r="I39" i="4" s="1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4" s="1"/>
  <c r="C45" i="2"/>
  <c r="D43" i="2"/>
  <c r="D41" i="2"/>
  <c r="D39" i="2"/>
  <c r="D37" i="2"/>
  <c r="D35" i="2"/>
  <c r="D33" i="2"/>
  <c r="D31" i="2"/>
  <c r="D29" i="2"/>
  <c r="D27" i="2"/>
  <c r="D25" i="2"/>
  <c r="C19" i="2"/>
  <c r="I39" i="3" l="1"/>
  <c r="D45" i="4"/>
  <c r="D46" i="4" s="1"/>
  <c r="F44" i="4"/>
  <c r="F45" i="4" s="1"/>
  <c r="F46" i="4" s="1"/>
  <c r="I92" i="4"/>
  <c r="D101" i="4"/>
  <c r="G93" i="4" s="1"/>
  <c r="D97" i="4"/>
  <c r="D98" i="4" s="1"/>
  <c r="D101" i="3"/>
  <c r="D102" i="3" s="1"/>
  <c r="I92" i="3"/>
  <c r="D49" i="3"/>
  <c r="F44" i="3"/>
  <c r="F45" i="3" s="1"/>
  <c r="D45" i="3"/>
  <c r="D46" i="3" s="1"/>
  <c r="F98" i="3"/>
  <c r="F99" i="3" s="1"/>
  <c r="E38" i="4"/>
  <c r="G41" i="4"/>
  <c r="G94" i="4"/>
  <c r="E38" i="3"/>
  <c r="E39" i="3"/>
  <c r="G91" i="4"/>
  <c r="G95" i="4" s="1"/>
  <c r="F99" i="4"/>
  <c r="E91" i="3"/>
  <c r="B69" i="4"/>
  <c r="D24" i="2"/>
  <c r="D28" i="2"/>
  <c r="D32" i="2"/>
  <c r="D36" i="2"/>
  <c r="D40" i="2"/>
  <c r="D49" i="2"/>
  <c r="E41" i="3"/>
  <c r="B57" i="3"/>
  <c r="B69" i="3" s="1"/>
  <c r="G38" i="4"/>
  <c r="E40" i="4"/>
  <c r="D49" i="4"/>
  <c r="C50" i="2"/>
  <c r="D97" i="3"/>
  <c r="D98" i="3" s="1"/>
  <c r="D99" i="3" s="1"/>
  <c r="E39" i="4"/>
  <c r="G40" i="4"/>
  <c r="G92" i="4"/>
  <c r="D26" i="2"/>
  <c r="D30" i="2"/>
  <c r="D34" i="2"/>
  <c r="D38" i="2"/>
  <c r="D42" i="2"/>
  <c r="B49" i="2"/>
  <c r="D50" i="2"/>
  <c r="E40" i="3"/>
  <c r="G39" i="4"/>
  <c r="G42" i="4" l="1"/>
  <c r="D102" i="4"/>
  <c r="E94" i="4"/>
  <c r="E92" i="4"/>
  <c r="E91" i="4"/>
  <c r="E93" i="3"/>
  <c r="G41" i="3"/>
  <c r="G39" i="3"/>
  <c r="F46" i="3"/>
  <c r="G93" i="3"/>
  <c r="G40" i="3"/>
  <c r="G38" i="3"/>
  <c r="G91" i="3"/>
  <c r="G94" i="3"/>
  <c r="G92" i="3"/>
  <c r="E42" i="3"/>
  <c r="D50" i="4"/>
  <c r="E42" i="4"/>
  <c r="D52" i="4"/>
  <c r="D99" i="4"/>
  <c r="E93" i="4"/>
  <c r="E94" i="3"/>
  <c r="E92" i="3"/>
  <c r="D103" i="4" l="1"/>
  <c r="E113" i="4" s="1"/>
  <c r="F113" i="4" s="1"/>
  <c r="E95" i="4"/>
  <c r="D105" i="4"/>
  <c r="D103" i="3"/>
  <c r="E110" i="3" s="1"/>
  <c r="F110" i="3" s="1"/>
  <c r="E95" i="3"/>
  <c r="D50" i="3"/>
  <c r="G63" i="3" s="1"/>
  <c r="H63" i="3" s="1"/>
  <c r="D52" i="3"/>
  <c r="D105" i="3"/>
  <c r="G95" i="3"/>
  <c r="G42" i="3"/>
  <c r="G68" i="3"/>
  <c r="H68" i="3" s="1"/>
  <c r="G67" i="3"/>
  <c r="H67" i="3" s="1"/>
  <c r="E112" i="3"/>
  <c r="F112" i="3" s="1"/>
  <c r="D51" i="4"/>
  <c r="G71" i="4"/>
  <c r="H71" i="4" s="1"/>
  <c r="G66" i="4"/>
  <c r="H66" i="4" s="1"/>
  <c r="G62" i="4"/>
  <c r="H62" i="4" s="1"/>
  <c r="G70" i="4"/>
  <c r="H70" i="4" s="1"/>
  <c r="G67" i="4"/>
  <c r="H67" i="4" s="1"/>
  <c r="G65" i="4"/>
  <c r="H65" i="4" s="1"/>
  <c r="G63" i="4"/>
  <c r="H63" i="4" s="1"/>
  <c r="G61" i="4"/>
  <c r="H61" i="4" s="1"/>
  <c r="G69" i="4"/>
  <c r="H69" i="4" s="1"/>
  <c r="G64" i="4"/>
  <c r="H64" i="4" s="1"/>
  <c r="G60" i="4"/>
  <c r="G68" i="4"/>
  <c r="H68" i="4" s="1"/>
  <c r="E108" i="4" l="1"/>
  <c r="D104" i="4"/>
  <c r="E109" i="4"/>
  <c r="F109" i="4" s="1"/>
  <c r="E110" i="4"/>
  <c r="F110" i="4" s="1"/>
  <c r="E111" i="4"/>
  <c r="F111" i="4" s="1"/>
  <c r="E112" i="4"/>
  <c r="F112" i="4" s="1"/>
  <c r="E111" i="3"/>
  <c r="F111" i="3" s="1"/>
  <c r="D104" i="3"/>
  <c r="E108" i="3"/>
  <c r="E113" i="3"/>
  <c r="F113" i="3" s="1"/>
  <c r="E109" i="3"/>
  <c r="F109" i="3" s="1"/>
  <c r="G61" i="3"/>
  <c r="H61" i="3" s="1"/>
  <c r="G60" i="3"/>
  <c r="H60" i="3" s="1"/>
  <c r="G66" i="3"/>
  <c r="H66" i="3" s="1"/>
  <c r="G65" i="3"/>
  <c r="H65" i="3" s="1"/>
  <c r="G69" i="3"/>
  <c r="H69" i="3" s="1"/>
  <c r="G70" i="3"/>
  <c r="H70" i="3" s="1"/>
  <c r="G62" i="3"/>
  <c r="H62" i="3" s="1"/>
  <c r="G71" i="3"/>
  <c r="H71" i="3" s="1"/>
  <c r="D51" i="3"/>
  <c r="G64" i="3"/>
  <c r="H64" i="3" s="1"/>
  <c r="G74" i="4"/>
  <c r="G72" i="4"/>
  <c r="G73" i="4" s="1"/>
  <c r="H60" i="4"/>
  <c r="F108" i="4"/>
  <c r="E120" i="4" l="1"/>
  <c r="E115" i="4"/>
  <c r="E116" i="4" s="1"/>
  <c r="E119" i="4"/>
  <c r="E117" i="4"/>
  <c r="E119" i="3"/>
  <c r="E120" i="3"/>
  <c r="F108" i="3"/>
  <c r="F119" i="3" s="1"/>
  <c r="E117" i="3"/>
  <c r="E115" i="3"/>
  <c r="E116" i="3" s="1"/>
  <c r="G74" i="3"/>
  <c r="G72" i="3"/>
  <c r="G73" i="3" s="1"/>
  <c r="F125" i="4"/>
  <c r="F120" i="4"/>
  <c r="F117" i="4"/>
  <c r="D125" i="4"/>
  <c r="F115" i="4"/>
  <c r="F119" i="4"/>
  <c r="H74" i="4"/>
  <c r="H72" i="4"/>
  <c r="H74" i="3"/>
  <c r="H72" i="3"/>
  <c r="F125" i="3" l="1"/>
  <c r="D125" i="3"/>
  <c r="F120" i="3"/>
  <c r="F115" i="3"/>
  <c r="F116" i="3" s="1"/>
  <c r="F117" i="3"/>
  <c r="G76" i="3"/>
  <c r="H73" i="3"/>
  <c r="G124" i="4"/>
  <c r="F116" i="4"/>
  <c r="G76" i="4"/>
  <c r="H73" i="4"/>
  <c r="G124" i="3" l="1"/>
</calcChain>
</file>

<file path=xl/sharedStrings.xml><?xml version="1.0" encoding="utf-8"?>
<sst xmlns="http://schemas.openxmlformats.org/spreadsheetml/2006/main" count="450" uniqueCount="137">
  <si>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</si>
  <si>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</si>
  <si>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</si>
  <si>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</si>
  <si>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</si>
  <si>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</si>
  <si>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</si>
  <si>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NDQB201709187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</si>
  <si>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</si>
  <si>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</si>
  <si>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</si>
  <si>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</si>
  <si>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09:22:43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</si>
  <si>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</si>
  <si>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</si>
  <si>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</si>
  <si>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</si>
  <si>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</si>
  <si>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</si>
  <si>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</si>
  <si>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</si>
  <si>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</si>
  <si>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</si>
  <si>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</si>
  <si>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</si>
  <si>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</si>
  <si>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</si>
  <si>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</si>
  <si>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</si>
  <si>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</si>
  <si>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</si>
  <si>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</si>
  <si>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</si>
  <si>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</si>
  <si>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</si>
  <si>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</si>
  <si>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</si>
  <si>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</si>
  <si>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</si>
  <si>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</si>
  <si>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</si>
  <si>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</si>
  <si>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</si>
  <si>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</si>
  <si>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</si>
  <si>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</si>
  <si>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</si>
  <si>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</si>
  <si>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</si>
  <si>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</si>
  <si>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</si>
  <si>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</si>
  <si>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</si>
  <si>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</si>
  <si>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</si>
  <si>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</si>
  <si>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</si>
  <si>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</si>
  <si>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</si>
  <si>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</si>
  <si>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</si>
  <si>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</si>
  <si>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</si>
  <si>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</si>
  <si>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</si>
  <si>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</si>
  <si>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</si>
  <si>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</si>
  <si>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</si>
  <si>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</si>
  <si>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</si>
  <si>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</si>
  <si>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</si>
  <si>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</si>
  <si>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</si>
  <si>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</si>
  <si>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</si>
  <si>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</si>
  <si>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</si>
  <si>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</si>
  <si>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</si>
  <si>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</si>
  <si>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</si>
  <si>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</si>
  <si>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</si>
  <si>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</si>
  <si>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</si>
  <si>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</si>
  <si>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</si>
  <si>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</si>
  <si>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</si>
  <si>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</si>
  <si>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</si>
  <si>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</si>
  <si>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</si>
  <si>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</si>
  <si>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</si>
  <si>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</si>
  <si>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</si>
  <si>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</si>
  <si>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</si>
  <si>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</si>
  <si>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</si>
  <si>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</si>
  <si>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</si>
  <si>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</si>
  <si>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</si>
  <si>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</si>
  <si>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</si>
  <si>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</si>
  <si>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</si>
  <si>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</si>
  <si>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</si>
  <si>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</si>
  <si>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</si>
  <si>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</si>
  <si>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</si>
  <si>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</si>
  <si>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</si>
  <si>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</si>
  <si>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</si>
  <si>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</si>
  <si>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</si>
  <si>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</si>
  <si>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</si>
  <si>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</si>
  <si>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</si>
  <si>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</si>
  <si>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</si>
  <si>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</si>
  <si>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</si>
  <si>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Artemether </t>
  </si>
  <si>
    <t>A5-10</t>
  </si>
  <si>
    <t>Lumefantrine</t>
  </si>
  <si>
    <t>L1-0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</si>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</sst>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B30" sqref="B30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5</v>
      </c>
      <c r="D17" s="432"/>
      <c r="E17" s="433"/>
    </row>
    <row r="18" spans="1:5" ht="16.5" customHeight="1" x14ac:dyDescent="0.3">
      <c r="A18" s="434" t="s">
        <v>4</v>
      </c>
      <c r="B18" s="431" t="s">
        <v>131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98.932000000000002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11.58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11.58/25*10/20</f>
        <v>0.23159999999999997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752281</v>
      </c>
      <c r="C24" s="440">
        <v>5886.85</v>
      </c>
      <c r="D24" s="441">
        <v>0.91</v>
      </c>
      <c r="E24" s="442">
        <v>3.71</v>
      </c>
    </row>
    <row r="25" spans="1:5" ht="16.5" customHeight="1" x14ac:dyDescent="0.3">
      <c r="A25" s="439">
        <v>2</v>
      </c>
      <c r="B25" s="440">
        <v>756413</v>
      </c>
      <c r="C25" s="440">
        <v>5885.65</v>
      </c>
      <c r="D25" s="441">
        <v>0.91</v>
      </c>
      <c r="E25" s="441">
        <v>3.71</v>
      </c>
    </row>
    <row r="26" spans="1:5" ht="16.5" customHeight="1" x14ac:dyDescent="0.3">
      <c r="A26" s="439">
        <v>3</v>
      </c>
      <c r="B26" s="440">
        <v>755285</v>
      </c>
      <c r="C26" s="440">
        <v>5850.89</v>
      </c>
      <c r="D26" s="441">
        <v>0.93</v>
      </c>
      <c r="E26" s="441">
        <v>3.71</v>
      </c>
    </row>
    <row r="27" spans="1:5" ht="16.5" customHeight="1" x14ac:dyDescent="0.3">
      <c r="A27" s="439">
        <v>4</v>
      </c>
      <c r="B27" s="440">
        <v>740759</v>
      </c>
      <c r="C27" s="440">
        <v>5887.47</v>
      </c>
      <c r="D27" s="441">
        <v>0.91</v>
      </c>
      <c r="E27" s="441">
        <v>3.71</v>
      </c>
    </row>
    <row r="28" spans="1:5" ht="16.5" customHeight="1" x14ac:dyDescent="0.3">
      <c r="A28" s="439">
        <v>5</v>
      </c>
      <c r="B28" s="440">
        <v>752761</v>
      </c>
      <c r="C28" s="440">
        <v>5858.93</v>
      </c>
      <c r="D28" s="441">
        <v>0.92</v>
      </c>
      <c r="E28" s="441">
        <v>3.71</v>
      </c>
    </row>
    <row r="29" spans="1:5" ht="16.5" customHeight="1" x14ac:dyDescent="0.3">
      <c r="A29" s="439">
        <v>6</v>
      </c>
      <c r="B29" s="443">
        <v>756617</v>
      </c>
      <c r="C29" s="443">
        <v>5856.88</v>
      </c>
      <c r="D29" s="444">
        <v>0.91</v>
      </c>
      <c r="E29" s="444">
        <v>3.71</v>
      </c>
    </row>
    <row r="30" spans="1:5" ht="16.5" customHeight="1" x14ac:dyDescent="0.3">
      <c r="A30" s="445" t="s">
        <v>18</v>
      </c>
      <c r="B30" s="446">
        <f>AVERAGE(B24:B29)</f>
        <v>752352.66666666663</v>
      </c>
      <c r="C30" s="447">
        <f>AVERAGE(C24:C29)</f>
        <v>5871.1116666666667</v>
      </c>
      <c r="D30" s="448">
        <f>AVERAGE(D24:D29)</f>
        <v>0.91500000000000004</v>
      </c>
      <c r="E30" s="448">
        <f>AVERAGE(E24:E29)</f>
        <v>3.7100000000000004</v>
      </c>
    </row>
    <row r="31" spans="1:5" ht="16.5" customHeight="1" x14ac:dyDescent="0.3">
      <c r="A31" s="449" t="s">
        <v>19</v>
      </c>
      <c r="B31" s="450">
        <f>(STDEV(B24:B29)/B30)</f>
        <v>7.9273100441263639E-3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135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1" t="s">
        <v>26</v>
      </c>
      <c r="C59" s="471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136</v>
      </c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A33" sqref="A33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5</v>
      </c>
      <c r="D17" s="432"/>
      <c r="E17" s="433"/>
    </row>
    <row r="18" spans="1:5" ht="16.5" customHeight="1" x14ac:dyDescent="0.3">
      <c r="A18" s="434" t="s">
        <v>4</v>
      </c>
      <c r="B18" s="431" t="s">
        <v>133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99.1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25.7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25.7/20</f>
        <v>1.2849999999999999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323327859</v>
      </c>
      <c r="C24" s="440">
        <v>1382.69</v>
      </c>
      <c r="D24" s="441">
        <v>3.57</v>
      </c>
      <c r="E24" s="442">
        <v>6.01</v>
      </c>
    </row>
    <row r="25" spans="1:5" ht="16.5" customHeight="1" x14ac:dyDescent="0.3">
      <c r="A25" s="439">
        <v>2</v>
      </c>
      <c r="B25" s="440">
        <v>325480076</v>
      </c>
      <c r="C25" s="440">
        <v>1375.63</v>
      </c>
      <c r="D25" s="441">
        <v>3.57</v>
      </c>
      <c r="E25" s="441">
        <v>6.01</v>
      </c>
    </row>
    <row r="26" spans="1:5" ht="16.5" customHeight="1" x14ac:dyDescent="0.3">
      <c r="A26" s="439">
        <v>3</v>
      </c>
      <c r="B26" s="440">
        <v>323815879</v>
      </c>
      <c r="C26" s="440">
        <v>1380.06</v>
      </c>
      <c r="D26" s="441">
        <v>3.55</v>
      </c>
      <c r="E26" s="441">
        <v>6.02</v>
      </c>
    </row>
    <row r="27" spans="1:5" ht="16.5" customHeight="1" x14ac:dyDescent="0.3">
      <c r="A27" s="439">
        <v>4</v>
      </c>
      <c r="B27" s="440">
        <v>318919198</v>
      </c>
      <c r="C27" s="440">
        <v>1388.85</v>
      </c>
      <c r="D27" s="441">
        <v>3.47</v>
      </c>
      <c r="E27" s="441">
        <v>6.02</v>
      </c>
    </row>
    <row r="28" spans="1:5" ht="16.5" customHeight="1" x14ac:dyDescent="0.3">
      <c r="A28" s="439">
        <v>5</v>
      </c>
      <c r="B28" s="440">
        <v>323470579</v>
      </c>
      <c r="C28" s="440">
        <v>1379.26</v>
      </c>
      <c r="D28" s="441">
        <v>3.56</v>
      </c>
      <c r="E28" s="441">
        <v>6.02</v>
      </c>
    </row>
    <row r="29" spans="1:5" ht="16.5" customHeight="1" x14ac:dyDescent="0.3">
      <c r="A29" s="439">
        <v>6</v>
      </c>
      <c r="B29" s="443">
        <v>325376741</v>
      </c>
      <c r="C29" s="443">
        <v>1370.29</v>
      </c>
      <c r="D29" s="444">
        <v>3.51</v>
      </c>
      <c r="E29" s="444">
        <v>6.02</v>
      </c>
    </row>
    <row r="30" spans="1:5" ht="16.5" customHeight="1" x14ac:dyDescent="0.3">
      <c r="A30" s="445" t="s">
        <v>18</v>
      </c>
      <c r="B30" s="446">
        <f>AVERAGE(B24:B29)</f>
        <v>323398388.66666669</v>
      </c>
      <c r="C30" s="447">
        <f>AVERAGE(C24:C29)</f>
        <v>1379.4633333333331</v>
      </c>
      <c r="D30" s="448">
        <f>AVERAGE(D24:D29)</f>
        <v>3.5383333333333327</v>
      </c>
      <c r="E30" s="448">
        <f>AVERAGE(E24:E29)</f>
        <v>6.0166666666666657</v>
      </c>
    </row>
    <row r="31" spans="1:5" ht="16.5" customHeight="1" x14ac:dyDescent="0.3">
      <c r="A31" s="449" t="s">
        <v>19</v>
      </c>
      <c r="B31" s="450">
        <f>(STDEV(B24:B29)/B30)</f>
        <v>7.3817777896149793E-3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135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1" t="s">
        <v>26</v>
      </c>
      <c r="C59" s="471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136</v>
      </c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6" sqref="C2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42"/>
    </row>
    <row r="14" spans="1:7" ht="16.5" customHeight="1" x14ac:dyDescent="0.3">
      <c r="A14" s="479" t="s">
        <v>33</v>
      </c>
      <c r="B14" s="479"/>
      <c r="C14" s="12" t="s">
        <v>5</v>
      </c>
    </row>
    <row r="15" spans="1:7" ht="16.5" customHeight="1" x14ac:dyDescent="0.3">
      <c r="A15" s="479" t="s">
        <v>34</v>
      </c>
      <c r="B15" s="479"/>
      <c r="C15" s="12" t="s">
        <v>7</v>
      </c>
    </row>
    <row r="16" spans="1:7" ht="16.5" customHeight="1" x14ac:dyDescent="0.3">
      <c r="A16" s="479" t="s">
        <v>35</v>
      </c>
      <c r="B16" s="479"/>
      <c r="C16" s="12" t="s">
        <v>9</v>
      </c>
    </row>
    <row r="17" spans="1:5" ht="16.5" customHeight="1" x14ac:dyDescent="0.3">
      <c r="A17" s="479" t="s">
        <v>36</v>
      </c>
      <c r="B17" s="479"/>
      <c r="C17" s="12" t="s">
        <v>11</v>
      </c>
    </row>
    <row r="18" spans="1:5" ht="16.5" customHeight="1" x14ac:dyDescent="0.3">
      <c r="A18" s="479" t="s">
        <v>37</v>
      </c>
      <c r="B18" s="479"/>
      <c r="C18" s="49" t="s">
        <v>12</v>
      </c>
    </row>
    <row r="19" spans="1:5" ht="16.5" customHeight="1" x14ac:dyDescent="0.3">
      <c r="A19" s="479" t="s">
        <v>38</v>
      </c>
      <c r="B19" s="4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4" t="s">
        <v>1</v>
      </c>
      <c r="B21" s="474"/>
      <c r="C21" s="11" t="s">
        <v>39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287.39</v>
      </c>
      <c r="D24" s="39">
        <f t="shared" ref="D24:D43" si="0">(C24-$C$46)/$C$46</f>
        <v>3.4321786827836058E-3</v>
      </c>
      <c r="E24" s="5"/>
    </row>
    <row r="25" spans="1:5" ht="15.75" customHeight="1" x14ac:dyDescent="0.3">
      <c r="C25" s="47">
        <v>272.82</v>
      </c>
      <c r="D25" s="40">
        <f t="shared" si="0"/>
        <v>-4.7439482973530643E-2</v>
      </c>
      <c r="E25" s="5"/>
    </row>
    <row r="26" spans="1:5" ht="15.75" customHeight="1" x14ac:dyDescent="0.3">
      <c r="C26" s="47">
        <v>286.63</v>
      </c>
      <c r="D26" s="40">
        <f t="shared" si="0"/>
        <v>7.7861225458879572E-4</v>
      </c>
      <c r="E26" s="5"/>
    </row>
    <row r="27" spans="1:5" ht="15.75" customHeight="1" x14ac:dyDescent="0.3">
      <c r="C27" s="47">
        <v>286.2</v>
      </c>
      <c r="D27" s="40">
        <f t="shared" si="0"/>
        <v>-7.227476982056781E-4</v>
      </c>
      <c r="E27" s="5"/>
    </row>
    <row r="28" spans="1:5" ht="15.75" customHeight="1" x14ac:dyDescent="0.3">
      <c r="C28" s="47">
        <v>289.33999999999997</v>
      </c>
      <c r="D28" s="40">
        <f t="shared" si="0"/>
        <v>1.0240671491967699E-2</v>
      </c>
      <c r="E28" s="5"/>
    </row>
    <row r="29" spans="1:5" ht="15.75" customHeight="1" x14ac:dyDescent="0.3">
      <c r="C29" s="47">
        <v>284.63</v>
      </c>
      <c r="D29" s="40">
        <f t="shared" si="0"/>
        <v>-6.204457293292367E-3</v>
      </c>
      <c r="E29" s="5"/>
    </row>
    <row r="30" spans="1:5" ht="15.75" customHeight="1" x14ac:dyDescent="0.3">
      <c r="C30" s="47">
        <v>285.81</v>
      </c>
      <c r="D30" s="40">
        <f t="shared" si="0"/>
        <v>-2.084446260042457E-3</v>
      </c>
      <c r="E30" s="5"/>
    </row>
    <row r="31" spans="1:5" ht="15.75" customHeight="1" x14ac:dyDescent="0.3">
      <c r="C31" s="47">
        <v>288.41000000000003</v>
      </c>
      <c r="D31" s="40">
        <f t="shared" si="0"/>
        <v>6.9935441522031338E-3</v>
      </c>
      <c r="E31" s="5"/>
    </row>
    <row r="32" spans="1:5" ht="15.75" customHeight="1" x14ac:dyDescent="0.3">
      <c r="C32" s="47">
        <v>281.31</v>
      </c>
      <c r="D32" s="40">
        <f t="shared" si="0"/>
        <v>-1.7796352742775072E-2</v>
      </c>
      <c r="E32" s="5"/>
    </row>
    <row r="33" spans="1:7" ht="15.75" customHeight="1" x14ac:dyDescent="0.3">
      <c r="C33" s="47">
        <v>288.94</v>
      </c>
      <c r="D33" s="40">
        <f t="shared" si="0"/>
        <v>8.8440575823915471E-3</v>
      </c>
      <c r="E33" s="5"/>
    </row>
    <row r="34" spans="1:7" ht="15.75" customHeight="1" x14ac:dyDescent="0.3">
      <c r="C34" s="47">
        <v>288.06</v>
      </c>
      <c r="D34" s="40">
        <f t="shared" si="0"/>
        <v>5.7715069813238503E-3</v>
      </c>
      <c r="E34" s="5"/>
    </row>
    <row r="35" spans="1:7" ht="15.75" customHeight="1" x14ac:dyDescent="0.3">
      <c r="C35" s="47">
        <v>287.97000000000003</v>
      </c>
      <c r="D35" s="40">
        <f t="shared" si="0"/>
        <v>5.4572688516692858E-3</v>
      </c>
      <c r="E35" s="5"/>
    </row>
    <row r="36" spans="1:7" ht="15.75" customHeight="1" x14ac:dyDescent="0.3">
      <c r="C36" s="47">
        <v>289.24</v>
      </c>
      <c r="D36" s="40">
        <f t="shared" si="0"/>
        <v>9.8915180145737608E-3</v>
      </c>
      <c r="E36" s="5"/>
    </row>
    <row r="37" spans="1:7" ht="15.75" customHeight="1" x14ac:dyDescent="0.3">
      <c r="C37" s="47">
        <v>288.05</v>
      </c>
      <c r="D37" s="40">
        <f t="shared" si="0"/>
        <v>5.7365916335844766E-3</v>
      </c>
      <c r="E37" s="5"/>
    </row>
    <row r="38" spans="1:7" ht="15.75" customHeight="1" x14ac:dyDescent="0.3">
      <c r="C38" s="47">
        <v>283.36</v>
      </c>
      <c r="D38" s="40">
        <f t="shared" si="0"/>
        <v>-1.0638706456196842E-2</v>
      </c>
      <c r="E38" s="5"/>
    </row>
    <row r="39" spans="1:7" ht="15.75" customHeight="1" x14ac:dyDescent="0.3">
      <c r="C39" s="47">
        <v>286.63</v>
      </c>
      <c r="D39" s="40">
        <f t="shared" si="0"/>
        <v>7.7861225458879572E-4</v>
      </c>
      <c r="E39" s="5"/>
    </row>
    <row r="40" spans="1:7" ht="15.75" customHeight="1" x14ac:dyDescent="0.3">
      <c r="C40" s="47">
        <v>287.52</v>
      </c>
      <c r="D40" s="40">
        <f t="shared" si="0"/>
        <v>3.8860782033958655E-3</v>
      </c>
      <c r="E40" s="5"/>
    </row>
    <row r="41" spans="1:7" ht="15.75" customHeight="1" x14ac:dyDescent="0.3">
      <c r="C41" s="47">
        <v>287.31</v>
      </c>
      <c r="D41" s="40">
        <f t="shared" si="0"/>
        <v>3.1528559008684146E-3</v>
      </c>
      <c r="E41" s="5"/>
    </row>
    <row r="42" spans="1:7" ht="15.75" customHeight="1" x14ac:dyDescent="0.3">
      <c r="C42" s="47">
        <v>289.99</v>
      </c>
      <c r="D42" s="40">
        <f t="shared" si="0"/>
        <v>1.2510169095029196E-2</v>
      </c>
      <c r="E42" s="5"/>
    </row>
    <row r="43" spans="1:7" ht="16.5" customHeight="1" x14ac:dyDescent="0.3">
      <c r="C43" s="48">
        <v>288.52999999999997</v>
      </c>
      <c r="D43" s="41">
        <f t="shared" si="0"/>
        <v>7.4125283250758211E-3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5728.1399999999994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286.40699999999998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2">
        <f>C46</f>
        <v>286.40699999999998</v>
      </c>
      <c r="C49" s="45">
        <f>-IF(C46&lt;=80,10%,IF(C46&lt;250,7.5%,5%))</f>
        <v>-0.05</v>
      </c>
      <c r="D49" s="33">
        <f>IF(C46&lt;=80,C46*0.9,IF(C46&lt;250,C46*0.925,C46*0.95))</f>
        <v>272.08664999999996</v>
      </c>
    </row>
    <row r="50" spans="1:6" ht="17.25" customHeight="1" x14ac:dyDescent="0.3">
      <c r="B50" s="473"/>
      <c r="C50" s="46">
        <f>IF(C46&lt;=80, 10%, IF(C46&lt;250, 7.5%, 5%))</f>
        <v>0.05</v>
      </c>
      <c r="D50" s="33">
        <f>IF(C46&lt;=80, C46*1.1, IF(C46&lt;250, C46*1.075, C46*1.05))</f>
        <v>300.72735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7" sqref="A17:H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50"/>
    </row>
    <row r="16" spans="1:9" ht="19.5" customHeight="1" x14ac:dyDescent="0.3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47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52" t="s">
        <v>33</v>
      </c>
      <c r="B18" s="482" t="s">
        <v>5</v>
      </c>
      <c r="C18" s="48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7" t="s">
        <v>131</v>
      </c>
      <c r="C20" s="48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56"/>
    </row>
    <row r="22" spans="1:14" ht="26.25" customHeight="1" x14ac:dyDescent="0.4">
      <c r="A22" s="52" t="s">
        <v>37</v>
      </c>
      <c r="B22" s="57">
        <v>43153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2" t="s">
        <v>131</v>
      </c>
      <c r="C26" s="482"/>
    </row>
    <row r="27" spans="1:14" ht="26.25" customHeight="1" x14ac:dyDescent="0.4">
      <c r="A27" s="61" t="s">
        <v>48</v>
      </c>
      <c r="B27" s="488" t="s">
        <v>132</v>
      </c>
      <c r="C27" s="488"/>
    </row>
    <row r="28" spans="1:14" ht="27" customHeight="1" x14ac:dyDescent="0.4">
      <c r="A28" s="61" t="s">
        <v>6</v>
      </c>
      <c r="B28" s="62">
        <v>98.932000000000002</v>
      </c>
    </row>
    <row r="29" spans="1:14" s="3" customFormat="1" ht="27" customHeight="1" x14ac:dyDescent="0.4">
      <c r="A29" s="61" t="s">
        <v>49</v>
      </c>
      <c r="B29" s="63">
        <v>0</v>
      </c>
      <c r="C29" s="489" t="s">
        <v>50</v>
      </c>
      <c r="D29" s="490"/>
      <c r="E29" s="490"/>
      <c r="F29" s="490"/>
      <c r="G29" s="49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98.932000000000002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2" t="s">
        <v>53</v>
      </c>
      <c r="D31" s="493"/>
      <c r="E31" s="493"/>
      <c r="F31" s="493"/>
      <c r="G31" s="493"/>
      <c r="H31" s="49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2" t="s">
        <v>55</v>
      </c>
      <c r="D32" s="493"/>
      <c r="E32" s="493"/>
      <c r="F32" s="493"/>
      <c r="G32" s="493"/>
      <c r="H32" s="49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95" t="s">
        <v>59</v>
      </c>
      <c r="E36" s="496"/>
      <c r="F36" s="495" t="s">
        <v>60</v>
      </c>
      <c r="G36" s="49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752051</v>
      </c>
      <c r="E38" s="85">
        <f>IF(ISBLANK(D38),"-",$D$48/$D$45*D38)</f>
        <v>656450.44166691636</v>
      </c>
      <c r="F38" s="84">
        <v>685432</v>
      </c>
      <c r="G38" s="86">
        <f>IF(ISBLANK(F38),"-",$D$48/$F$45*F38)</f>
        <v>667467.66837843577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753742</v>
      </c>
      <c r="E39" s="90">
        <f>IF(ISBLANK(D39),"-",$D$48/$D$45*D39)</f>
        <v>657926.48211744265</v>
      </c>
      <c r="F39" s="89">
        <v>681456</v>
      </c>
      <c r="G39" s="91">
        <f>IF(ISBLANK(F39),"-",$D$48/$F$45*F39)</f>
        <v>663595.87445945817</v>
      </c>
      <c r="I39" s="499">
        <f>ABS((F43/D43*D42)-F42)/D42</f>
        <v>9.9304825922551226E-3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755968</v>
      </c>
      <c r="E40" s="90">
        <f>IF(ISBLANK(D40),"-",$D$48/$D$45*D40)</f>
        <v>659869.5134851964</v>
      </c>
      <c r="F40" s="89">
        <v>682954</v>
      </c>
      <c r="G40" s="91">
        <f>IF(ISBLANK(F40),"-",$D$48/$F$45*F40)</f>
        <v>665054.6137176645</v>
      </c>
      <c r="I40" s="499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753920.33333333337</v>
      </c>
      <c r="E42" s="100">
        <f>AVERAGE(E38:E41)</f>
        <v>658082.14575651847</v>
      </c>
      <c r="F42" s="99">
        <f>AVERAGE(F38:F41)</f>
        <v>683280.66666666663</v>
      </c>
      <c r="G42" s="101">
        <f>AVERAGE(G38:G41)</f>
        <v>665372.71885185281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11.58</v>
      </c>
      <c r="E43" s="92"/>
      <c r="F43" s="104">
        <v>10.38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11.58</v>
      </c>
      <c r="E44" s="107"/>
      <c r="F44" s="106">
        <f>F43*$B$34</f>
        <v>10.38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11.4563256</v>
      </c>
      <c r="E45" s="110"/>
      <c r="F45" s="109">
        <f>F44*$B$30/100</f>
        <v>10.269141600000001</v>
      </c>
      <c r="H45" s="102"/>
    </row>
    <row r="46" spans="1:14" ht="19.5" customHeight="1" x14ac:dyDescent="0.3">
      <c r="A46" s="500" t="s">
        <v>78</v>
      </c>
      <c r="B46" s="501"/>
      <c r="C46" s="105" t="s">
        <v>79</v>
      </c>
      <c r="D46" s="111">
        <f>D45/$B$45</f>
        <v>0.229126512</v>
      </c>
      <c r="E46" s="112"/>
      <c r="F46" s="113">
        <f>F45/$B$45</f>
        <v>0.20538283200000002</v>
      </c>
      <c r="H46" s="102"/>
    </row>
    <row r="47" spans="1:14" ht="27" customHeight="1" x14ac:dyDescent="0.4">
      <c r="A47" s="502"/>
      <c r="B47" s="503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661727.4323041857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6.5264517497144068E-3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Coartem Dispersible tablet contains Artemether 20 mg and Lumefantrine 120 mg.</v>
      </c>
    </row>
    <row r="56" spans="1:12" ht="26.25" customHeight="1" x14ac:dyDescent="0.4">
      <c r="A56" s="129" t="s">
        <v>87</v>
      </c>
      <c r="B56" s="130">
        <v>20</v>
      </c>
      <c r="C56" s="51" t="str">
        <f>B20</f>
        <v xml:space="preserve">Artemether </v>
      </c>
      <c r="H56" s="131"/>
    </row>
    <row r="57" spans="1:12" ht="18.75" x14ac:dyDescent="0.3">
      <c r="A57" s="128" t="s">
        <v>88</v>
      </c>
      <c r="B57" s="199">
        <f>Uniformity!C46</f>
        <v>286.40699999999998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504" t="s">
        <v>94</v>
      </c>
      <c r="D60" s="507">
        <v>290.02</v>
      </c>
      <c r="E60" s="134">
        <v>1</v>
      </c>
      <c r="F60" s="135">
        <v>634112</v>
      </c>
      <c r="G60" s="200">
        <f>IF(ISBLANK(F60),"-",(F60/$D$50*$D$47*$B$68)*($B$57/$D$60))</f>
        <v>18.926595856479182</v>
      </c>
      <c r="H60" s="218">
        <f t="shared" ref="H60:H71" si="0">IF(ISBLANK(F60),"-",(G60/$B$56)*100)</f>
        <v>94.632979282395908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05"/>
      <c r="D61" s="508"/>
      <c r="E61" s="136">
        <v>2</v>
      </c>
      <c r="F61" s="89">
        <v>634052</v>
      </c>
      <c r="G61" s="201">
        <f>IF(ISBLANK(F61),"-",(F61/$D$50*$D$47*$B$68)*($B$57/$D$60))</f>
        <v>18.924805012351662</v>
      </c>
      <c r="H61" s="219">
        <f t="shared" si="0"/>
        <v>94.624025061758317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5"/>
      <c r="D62" s="508"/>
      <c r="E62" s="136">
        <v>3</v>
      </c>
      <c r="F62" s="137">
        <v>626362</v>
      </c>
      <c r="G62" s="201">
        <f>IF(ISBLANK(F62),"-",(F62/$D$50*$D$47*$B$68)*($B$57/$D$60))</f>
        <v>18.6952784900081</v>
      </c>
      <c r="H62" s="219">
        <f t="shared" si="0"/>
        <v>93.476392450040507</v>
      </c>
      <c r="L62" s="64"/>
    </row>
    <row r="63" spans="1:12" ht="27" customHeight="1" x14ac:dyDescent="0.4">
      <c r="A63" s="76" t="s">
        <v>97</v>
      </c>
      <c r="B63" s="77">
        <v>1</v>
      </c>
      <c r="C63" s="506"/>
      <c r="D63" s="509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4" t="s">
        <v>99</v>
      </c>
      <c r="D64" s="507">
        <v>288.8</v>
      </c>
      <c r="E64" s="134">
        <v>1</v>
      </c>
      <c r="F64" s="135">
        <v>607185</v>
      </c>
      <c r="G64" s="200">
        <f>IF(ISBLANK(F64),"-",(F64/$D$50*$D$47*$B$68)*($B$57/$D$64))</f>
        <v>18.199452794799281</v>
      </c>
      <c r="H64" s="218">
        <f t="shared" si="0"/>
        <v>90.997263973996411</v>
      </c>
    </row>
    <row r="65" spans="1:8" ht="26.25" customHeight="1" x14ac:dyDescent="0.4">
      <c r="A65" s="76" t="s">
        <v>100</v>
      </c>
      <c r="B65" s="77">
        <v>1</v>
      </c>
      <c r="C65" s="505"/>
      <c r="D65" s="508"/>
      <c r="E65" s="136">
        <v>2</v>
      </c>
      <c r="F65" s="89">
        <v>607254</v>
      </c>
      <c r="G65" s="201">
        <f>IF(ISBLANK(F65),"-",(F65/$D$50*$D$47*$B$68)*($B$57/$D$64))</f>
        <v>18.201520965526232</v>
      </c>
      <c r="H65" s="219">
        <f t="shared" si="0"/>
        <v>91.007604827631155</v>
      </c>
    </row>
    <row r="66" spans="1:8" ht="26.25" customHeight="1" x14ac:dyDescent="0.4">
      <c r="A66" s="76" t="s">
        <v>101</v>
      </c>
      <c r="B66" s="77">
        <v>1</v>
      </c>
      <c r="C66" s="505"/>
      <c r="D66" s="508"/>
      <c r="E66" s="136">
        <v>3</v>
      </c>
      <c r="F66" s="89">
        <v>607026</v>
      </c>
      <c r="G66" s="201">
        <f>IF(ISBLANK(F66),"-",(F66/$D$50*$D$47*$B$68)*($B$57/$D$64))</f>
        <v>18.194687010080667</v>
      </c>
      <c r="H66" s="219">
        <f t="shared" si="0"/>
        <v>90.973435050403339</v>
      </c>
    </row>
    <row r="67" spans="1:8" ht="27" customHeight="1" x14ac:dyDescent="0.4">
      <c r="A67" s="76" t="s">
        <v>102</v>
      </c>
      <c r="B67" s="77">
        <v>1</v>
      </c>
      <c r="C67" s="506"/>
      <c r="D67" s="509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504" t="s">
        <v>104</v>
      </c>
      <c r="D68" s="507">
        <v>286.88</v>
      </c>
      <c r="E68" s="134">
        <v>1</v>
      </c>
      <c r="F68" s="135"/>
      <c r="G68" s="200" t="str">
        <f>IF(ISBLANK(F68),"-",(F68/$D$50*$D$47*$B$68)*($B$57/$D$68))</f>
        <v>-</v>
      </c>
      <c r="H68" s="219" t="str">
        <f t="shared" si="0"/>
        <v>-</v>
      </c>
    </row>
    <row r="69" spans="1:8" ht="27" customHeight="1" x14ac:dyDescent="0.4">
      <c r="A69" s="124" t="s">
        <v>105</v>
      </c>
      <c r="B69" s="141">
        <f>(D47*B68)/B56*B57</f>
        <v>286.40699999999998</v>
      </c>
      <c r="C69" s="505"/>
      <c r="D69" s="508"/>
      <c r="E69" s="136">
        <v>2</v>
      </c>
      <c r="F69" s="89"/>
      <c r="G69" s="201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517" t="s">
        <v>78</v>
      </c>
      <c r="B70" s="518"/>
      <c r="C70" s="505"/>
      <c r="D70" s="508"/>
      <c r="E70" s="136">
        <v>3</v>
      </c>
      <c r="F70" s="89"/>
      <c r="G70" s="201" t="str">
        <f>IF(ISBLANK(F70),"-",(F70/$D$50*$D$47*$B$68)*($B$57/$D$68))</f>
        <v>-</v>
      </c>
      <c r="H70" s="219" t="str">
        <f t="shared" si="0"/>
        <v>-</v>
      </c>
    </row>
    <row r="71" spans="1:8" ht="27" customHeight="1" x14ac:dyDescent="0.4">
      <c r="A71" s="519"/>
      <c r="B71" s="520"/>
      <c r="C71" s="516"/>
      <c r="D71" s="509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18.523723354874189</v>
      </c>
      <c r="H72" s="221">
        <f>AVERAGE(H60:H71)</f>
        <v>92.618616774370935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1.9759252071762285E-2</v>
      </c>
      <c r="H73" s="205">
        <f>STDEV(H60:H71)/H72</f>
        <v>1.9759252071762306E-2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512" t="str">
        <f>B26</f>
        <v xml:space="preserve">Artemether </v>
      </c>
      <c r="D76" s="512"/>
      <c r="E76" s="150" t="s">
        <v>108</v>
      </c>
      <c r="F76" s="150"/>
      <c r="G76" s="237">
        <f>H72</f>
        <v>92.618616774370935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8" t="str">
        <f>B26</f>
        <v xml:space="preserve">Artemether </v>
      </c>
      <c r="C79" s="498"/>
    </row>
    <row r="80" spans="1:8" ht="26.25" customHeight="1" x14ac:dyDescent="0.4">
      <c r="A80" s="61" t="s">
        <v>48</v>
      </c>
      <c r="B80" s="498" t="str">
        <f>B27</f>
        <v>A5-10</v>
      </c>
      <c r="C80" s="498"/>
    </row>
    <row r="81" spans="1:12" ht="27" customHeight="1" x14ac:dyDescent="0.4">
      <c r="A81" s="61" t="s">
        <v>6</v>
      </c>
      <c r="B81" s="153">
        <f>B28</f>
        <v>98.932000000000002</v>
      </c>
    </row>
    <row r="82" spans="1:12" s="3" customFormat="1" ht="27" customHeight="1" x14ac:dyDescent="0.4">
      <c r="A82" s="61" t="s">
        <v>49</v>
      </c>
      <c r="B82" s="63">
        <v>0</v>
      </c>
      <c r="C82" s="489" t="s">
        <v>50</v>
      </c>
      <c r="D82" s="490"/>
      <c r="E82" s="490"/>
      <c r="F82" s="490"/>
      <c r="G82" s="49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98.932000000000002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2" t="s">
        <v>111</v>
      </c>
      <c r="D84" s="493"/>
      <c r="E84" s="493"/>
      <c r="F84" s="493"/>
      <c r="G84" s="493"/>
      <c r="H84" s="49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2" t="s">
        <v>112</v>
      </c>
      <c r="D85" s="493"/>
      <c r="E85" s="493"/>
      <c r="F85" s="493"/>
      <c r="G85" s="493"/>
      <c r="H85" s="49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95" t="s">
        <v>60</v>
      </c>
      <c r="G89" s="49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99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500" t="s">
        <v>78</v>
      </c>
      <c r="B99" s="514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502"/>
      <c r="B100" s="515"/>
      <c r="C100" s="167" t="s">
        <v>80</v>
      </c>
      <c r="D100" s="173">
        <f>$B$56/$B$116</f>
        <v>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500" t="s">
        <v>78</v>
      </c>
      <c r="B117" s="501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502"/>
      <c r="B118" s="503"/>
      <c r="C118" s="50"/>
      <c r="D118" s="212"/>
      <c r="E118" s="480" t="s">
        <v>123</v>
      </c>
      <c r="F118" s="48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2" t="str">
        <f>B26</f>
        <v xml:space="preserve">Artemether </v>
      </c>
      <c r="D124" s="512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3" t="s">
        <v>26</v>
      </c>
      <c r="C127" s="513"/>
      <c r="E127" s="156" t="s">
        <v>27</v>
      </c>
      <c r="F127" s="191"/>
      <c r="G127" s="513" t="s">
        <v>28</v>
      </c>
      <c r="H127" s="513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238"/>
    </row>
    <row r="16" spans="1:9" ht="19.5" customHeight="1" x14ac:dyDescent="0.3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47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240" t="s">
        <v>33</v>
      </c>
      <c r="B18" s="482" t="s">
        <v>5</v>
      </c>
      <c r="C18" s="482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7" t="s">
        <v>133</v>
      </c>
      <c r="C20" s="487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244"/>
    </row>
    <row r="22" spans="1:14" ht="26.25" customHeight="1" x14ac:dyDescent="0.4">
      <c r="A22" s="240" t="s">
        <v>37</v>
      </c>
      <c r="B22" s="245">
        <v>43153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43175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2" t="s">
        <v>133</v>
      </c>
      <c r="C26" s="482"/>
    </row>
    <row r="27" spans="1:14" ht="26.25" customHeight="1" x14ac:dyDescent="0.4">
      <c r="A27" s="249" t="s">
        <v>48</v>
      </c>
      <c r="B27" s="488" t="s">
        <v>134</v>
      </c>
      <c r="C27" s="488"/>
    </row>
    <row r="28" spans="1:14" ht="27" customHeight="1" x14ac:dyDescent="0.4">
      <c r="A28" s="249" t="s">
        <v>6</v>
      </c>
      <c r="B28" s="250">
        <v>99.1</v>
      </c>
    </row>
    <row r="29" spans="1:14" s="3" customFormat="1" ht="27" customHeight="1" x14ac:dyDescent="0.4">
      <c r="A29" s="249" t="s">
        <v>49</v>
      </c>
      <c r="B29" s="251">
        <v>0</v>
      </c>
      <c r="C29" s="489" t="s">
        <v>50</v>
      </c>
      <c r="D29" s="490"/>
      <c r="E29" s="490"/>
      <c r="F29" s="490"/>
      <c r="G29" s="491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99.1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2" t="s">
        <v>53</v>
      </c>
      <c r="D31" s="493"/>
      <c r="E31" s="493"/>
      <c r="F31" s="493"/>
      <c r="G31" s="493"/>
      <c r="H31" s="494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2" t="s">
        <v>55</v>
      </c>
      <c r="D32" s="493"/>
      <c r="E32" s="493"/>
      <c r="F32" s="493"/>
      <c r="G32" s="493"/>
      <c r="H32" s="494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95" t="s">
        <v>59</v>
      </c>
      <c r="E36" s="496"/>
      <c r="F36" s="495" t="s">
        <v>60</v>
      </c>
      <c r="G36" s="49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323559275</v>
      </c>
      <c r="E38" s="273">
        <f>IF(ISBLANK(D38),"-",$D$48/$D$45*D38)</f>
        <v>304900627.0441758</v>
      </c>
      <c r="F38" s="272">
        <v>309784182</v>
      </c>
      <c r="G38" s="274">
        <f>IF(ISBLANK(F38),"-",$D$48/$F$45*F38)</f>
        <v>309374904.78221524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324867789</v>
      </c>
      <c r="E39" s="278">
        <f>IF(ISBLANK(D39),"-",$D$48/$D$45*D39)</f>
        <v>306133683.14833504</v>
      </c>
      <c r="F39" s="277">
        <v>308595245</v>
      </c>
      <c r="G39" s="279">
        <f>IF(ISBLANK(F39),"-",$D$48/$F$45*F39)</f>
        <v>308187538.56876844</v>
      </c>
      <c r="I39" s="499">
        <f>ABS((F43/D43*D42)-F42)/D42</f>
        <v>1.0211258260761356E-2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324821397</v>
      </c>
      <c r="E40" s="278">
        <f>IF(ISBLANK(D40),"-",$D$48/$D$45*D40)</f>
        <v>306089966.42938197</v>
      </c>
      <c r="F40" s="277">
        <v>309896220</v>
      </c>
      <c r="G40" s="279">
        <f>IF(ISBLANK(F40),"-",$D$48/$F$45*F40)</f>
        <v>309486794.76109731</v>
      </c>
      <c r="I40" s="499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324416153.66666669</v>
      </c>
      <c r="E42" s="288">
        <f>AVERAGE(E38:E41)</f>
        <v>305708092.20729762</v>
      </c>
      <c r="F42" s="287">
        <f>AVERAGE(F38:F41)</f>
        <v>309425215.66666669</v>
      </c>
      <c r="G42" s="289">
        <f>AVERAGE(G38:G41)</f>
        <v>309016412.704027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25.7</v>
      </c>
      <c r="E43" s="280"/>
      <c r="F43" s="292">
        <v>24.25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25.7</v>
      </c>
      <c r="E44" s="295"/>
      <c r="F44" s="294">
        <f>F43*$B$34</f>
        <v>24.25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20</v>
      </c>
      <c r="C45" s="293" t="s">
        <v>77</v>
      </c>
      <c r="D45" s="297">
        <f>D44*$B$30/100</f>
        <v>25.468699999999998</v>
      </c>
      <c r="E45" s="298"/>
      <c r="F45" s="297">
        <f>F44*$B$30/100</f>
        <v>24.031749999999999</v>
      </c>
      <c r="H45" s="290"/>
    </row>
    <row r="46" spans="1:14" ht="19.5" customHeight="1" x14ac:dyDescent="0.3">
      <c r="A46" s="500" t="s">
        <v>78</v>
      </c>
      <c r="B46" s="501"/>
      <c r="C46" s="293" t="s">
        <v>79</v>
      </c>
      <c r="D46" s="299">
        <f>D45/$B$45</f>
        <v>1.2734349999999999</v>
      </c>
      <c r="E46" s="300"/>
      <c r="F46" s="301">
        <f>F45/$B$45</f>
        <v>1.2015875</v>
      </c>
      <c r="H46" s="290"/>
    </row>
    <row r="47" spans="1:14" ht="27" customHeight="1" x14ac:dyDescent="0.4">
      <c r="A47" s="502"/>
      <c r="B47" s="503"/>
      <c r="C47" s="302" t="s">
        <v>80</v>
      </c>
      <c r="D47" s="303">
        <v>1.2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24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24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307362252.45566231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6.2469109112926434E-3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Coartem Dispersible tablet contains Artemether 20 mg and Lumefantrine 120 mg.</v>
      </c>
    </row>
    <row r="56" spans="1:12" ht="26.25" customHeight="1" x14ac:dyDescent="0.4">
      <c r="A56" s="317" t="s">
        <v>87</v>
      </c>
      <c r="B56" s="318">
        <v>120</v>
      </c>
      <c r="C56" s="239" t="str">
        <f>B20</f>
        <v>Lumefantrine</v>
      </c>
      <c r="H56" s="319"/>
    </row>
    <row r="57" spans="1:12" ht="18.75" x14ac:dyDescent="0.3">
      <c r="A57" s="316" t="s">
        <v>88</v>
      </c>
      <c r="B57" s="387">
        <f>Uniformity!C46</f>
        <v>286.40699999999998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504" t="s">
        <v>94</v>
      </c>
      <c r="D60" s="507">
        <v>290.02</v>
      </c>
      <c r="E60" s="322">
        <v>1</v>
      </c>
      <c r="F60" s="323">
        <v>301507086</v>
      </c>
      <c r="G60" s="388">
        <f>IF(ISBLANK(F60),"-",(F60/$D$50*$D$47*$B$68)*($B$57/$D$60))</f>
        <v>116.24757962034246</v>
      </c>
      <c r="H60" s="406">
        <f t="shared" ref="H60:H71" si="0">IF(ISBLANK(F60),"-",(G60/$B$56)*100)</f>
        <v>96.872983016952048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505"/>
      <c r="D61" s="508"/>
      <c r="E61" s="324">
        <v>2</v>
      </c>
      <c r="F61" s="277">
        <v>301182852</v>
      </c>
      <c r="G61" s="389">
        <f>IF(ISBLANK(F61),"-",(F61/$D$50*$D$47*$B$68)*($B$57/$D$60))</f>
        <v>116.12256956425833</v>
      </c>
      <c r="H61" s="407">
        <f t="shared" si="0"/>
        <v>96.768807970215278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5"/>
      <c r="D62" s="508"/>
      <c r="E62" s="324">
        <v>3</v>
      </c>
      <c r="F62" s="325">
        <v>297505249</v>
      </c>
      <c r="G62" s="389">
        <f>IF(ISBLANK(F62),"-",(F62/$D$50*$D$47*$B$68)*($B$57/$D$60))</f>
        <v>114.70465115568562</v>
      </c>
      <c r="H62" s="407">
        <f t="shared" si="0"/>
        <v>95.58720929640468</v>
      </c>
      <c r="L62" s="252"/>
    </row>
    <row r="63" spans="1:12" ht="27" customHeight="1" x14ac:dyDescent="0.4">
      <c r="A63" s="264" t="s">
        <v>97</v>
      </c>
      <c r="B63" s="265">
        <v>1</v>
      </c>
      <c r="C63" s="506"/>
      <c r="D63" s="509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4" t="s">
        <v>99</v>
      </c>
      <c r="D64" s="507">
        <v>288.8</v>
      </c>
      <c r="E64" s="322">
        <v>1</v>
      </c>
      <c r="F64" s="323">
        <v>300094425</v>
      </c>
      <c r="G64" s="388">
        <f>IF(ISBLANK(F64),"-",(F64/$D$50*$D$47*$B$68)*($B$57/$D$64))</f>
        <v>116.19169376521974</v>
      </c>
      <c r="H64" s="406">
        <f t="shared" si="0"/>
        <v>96.826411471016456</v>
      </c>
    </row>
    <row r="65" spans="1:8" ht="26.25" customHeight="1" x14ac:dyDescent="0.4">
      <c r="A65" s="264" t="s">
        <v>100</v>
      </c>
      <c r="B65" s="265">
        <v>1</v>
      </c>
      <c r="C65" s="505"/>
      <c r="D65" s="508"/>
      <c r="E65" s="324">
        <v>2</v>
      </c>
      <c r="F65" s="277">
        <v>300059472</v>
      </c>
      <c r="G65" s="389">
        <f>IF(ISBLANK(F65),"-",(F65/$D$50*$D$47*$B$68)*($B$57/$D$64))</f>
        <v>116.17816053056478</v>
      </c>
      <c r="H65" s="407">
        <f t="shared" si="0"/>
        <v>96.815133775470656</v>
      </c>
    </row>
    <row r="66" spans="1:8" ht="26.25" customHeight="1" x14ac:dyDescent="0.4">
      <c r="A66" s="264" t="s">
        <v>101</v>
      </c>
      <c r="B66" s="265">
        <v>1</v>
      </c>
      <c r="C66" s="505"/>
      <c r="D66" s="508"/>
      <c r="E66" s="324">
        <v>3</v>
      </c>
      <c r="F66" s="277">
        <v>299989949</v>
      </c>
      <c r="G66" s="389">
        <f>IF(ISBLANK(F66),"-",(F66/$D$50*$D$47*$B$68)*($B$57/$D$64))</f>
        <v>116.15124235264247</v>
      </c>
      <c r="H66" s="407">
        <f t="shared" si="0"/>
        <v>96.792701960535382</v>
      </c>
    </row>
    <row r="67" spans="1:8" ht="27" customHeight="1" x14ac:dyDescent="0.4">
      <c r="A67" s="264" t="s">
        <v>102</v>
      </c>
      <c r="B67" s="265">
        <v>1</v>
      </c>
      <c r="C67" s="506"/>
      <c r="D67" s="509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</v>
      </c>
      <c r="C68" s="504" t="s">
        <v>104</v>
      </c>
      <c r="D68" s="507">
        <v>286.88</v>
      </c>
      <c r="E68" s="322">
        <v>1</v>
      </c>
      <c r="F68" s="323">
        <v>295663304</v>
      </c>
      <c r="G68" s="388">
        <f>IF(ISBLANK(F68),"-",(F68/$D$50*$D$47*$B$68)*($B$57/$D$68))</f>
        <v>115.24218864242215</v>
      </c>
      <c r="H68" s="407">
        <f t="shared" si="0"/>
        <v>96.035157202018468</v>
      </c>
    </row>
    <row r="69" spans="1:8" ht="27" customHeight="1" x14ac:dyDescent="0.4">
      <c r="A69" s="312" t="s">
        <v>105</v>
      </c>
      <c r="B69" s="329">
        <f>(D47*B68)/B56*B57</f>
        <v>286.40699999999998</v>
      </c>
      <c r="C69" s="505"/>
      <c r="D69" s="508"/>
      <c r="E69" s="324">
        <v>2</v>
      </c>
      <c r="F69" s="277">
        <v>293712094</v>
      </c>
      <c r="G69" s="389">
        <f>IF(ISBLANK(F69),"-",(F69/$D$50*$D$47*$B$68)*($B$57/$D$68))</f>
        <v>114.48165560413551</v>
      </c>
      <c r="H69" s="407">
        <f t="shared" si="0"/>
        <v>95.401379670112931</v>
      </c>
    </row>
    <row r="70" spans="1:8" ht="26.25" customHeight="1" x14ac:dyDescent="0.4">
      <c r="A70" s="517" t="s">
        <v>78</v>
      </c>
      <c r="B70" s="518"/>
      <c r="C70" s="505"/>
      <c r="D70" s="508"/>
      <c r="E70" s="324">
        <v>3</v>
      </c>
      <c r="F70" s="277">
        <v>293008249</v>
      </c>
      <c r="G70" s="389">
        <f>IF(ISBLANK(F70),"-",(F70/$D$50*$D$47*$B$68)*($B$57/$D$68))</f>
        <v>114.20731436135139</v>
      </c>
      <c r="H70" s="407">
        <f t="shared" si="0"/>
        <v>95.172761967792823</v>
      </c>
    </row>
    <row r="71" spans="1:8" ht="27" customHeight="1" x14ac:dyDescent="0.4">
      <c r="A71" s="519"/>
      <c r="B71" s="520"/>
      <c r="C71" s="516"/>
      <c r="D71" s="509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115.50300617740248</v>
      </c>
      <c r="H72" s="409">
        <f>AVERAGE(H60:H71)</f>
        <v>96.252505147835393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7.3182300285222204E-3</v>
      </c>
      <c r="H73" s="393">
        <f>STDEV(H60:H71)/H72</f>
        <v>7.3182300285222299E-3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2" t="str">
        <f>B26</f>
        <v>Lumefantrine</v>
      </c>
      <c r="D76" s="512"/>
      <c r="E76" s="338" t="s">
        <v>108</v>
      </c>
      <c r="F76" s="338"/>
      <c r="G76" s="425">
        <f>H72</f>
        <v>96.252505147835393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8" t="str">
        <f>B26</f>
        <v>Lumefantrine</v>
      </c>
      <c r="C79" s="498"/>
    </row>
    <row r="80" spans="1:8" ht="26.25" customHeight="1" x14ac:dyDescent="0.4">
      <c r="A80" s="249" t="s">
        <v>48</v>
      </c>
      <c r="B80" s="498" t="str">
        <f>B27</f>
        <v>L1-0</v>
      </c>
      <c r="C80" s="498"/>
    </row>
    <row r="81" spans="1:12" ht="27" customHeight="1" x14ac:dyDescent="0.4">
      <c r="A81" s="249" t="s">
        <v>6</v>
      </c>
      <c r="B81" s="341">
        <f>B28</f>
        <v>99.1</v>
      </c>
    </row>
    <row r="82" spans="1:12" s="3" customFormat="1" ht="27" customHeight="1" x14ac:dyDescent="0.4">
      <c r="A82" s="249" t="s">
        <v>49</v>
      </c>
      <c r="B82" s="251">
        <v>0</v>
      </c>
      <c r="C82" s="489" t="s">
        <v>50</v>
      </c>
      <c r="D82" s="490"/>
      <c r="E82" s="490"/>
      <c r="F82" s="490"/>
      <c r="G82" s="491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2" t="s">
        <v>111</v>
      </c>
      <c r="D84" s="493"/>
      <c r="E84" s="493"/>
      <c r="F84" s="493"/>
      <c r="G84" s="493"/>
      <c r="H84" s="494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2" t="s">
        <v>112</v>
      </c>
      <c r="D85" s="493"/>
      <c r="E85" s="493"/>
      <c r="F85" s="493"/>
      <c r="G85" s="493"/>
      <c r="H85" s="494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95" t="s">
        <v>60</v>
      </c>
      <c r="G89" s="497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99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500" t="s">
        <v>78</v>
      </c>
      <c r="B99" s="514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502"/>
      <c r="B100" s="515"/>
      <c r="C100" s="355" t="s">
        <v>80</v>
      </c>
      <c r="D100" s="361">
        <f>$B$56/$B$116</f>
        <v>120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120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120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500" t="s">
        <v>78</v>
      </c>
      <c r="B117" s="501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502"/>
      <c r="B118" s="503"/>
      <c r="C118" s="238"/>
      <c r="D118" s="400"/>
      <c r="E118" s="480" t="s">
        <v>123</v>
      </c>
      <c r="F118" s="48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2" t="str">
        <f>B26</f>
        <v>Lumefantrine</v>
      </c>
      <c r="D124" s="512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3" t="s">
        <v>26</v>
      </c>
      <c r="C127" s="513"/>
      <c r="E127" s="344" t="s">
        <v>27</v>
      </c>
      <c r="F127" s="379"/>
      <c r="G127" s="513" t="s">
        <v>28</v>
      </c>
      <c r="H127" s="513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2018-03-20T12:42:55Z</cp:lastPrinted>
  <dcterms:created xsi:type="dcterms:W3CDTF">2005-07-05T10:19:27Z</dcterms:created>
  <dcterms:modified xsi:type="dcterms:W3CDTF">2018-03-20T13:14:16Z</dcterms:modified>
</cp:coreProperties>
</file>