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Artemether" sheetId="1" r:id="rId1"/>
    <sheet name="SST Lumefantrine" sheetId="5" r:id="rId2"/>
    <sheet name="Uniformity" sheetId="2" r:id="rId3"/>
    <sheet name="Artemether" sheetId="3" r:id="rId4"/>
    <sheet name="Lumefantrine" sheetId="4" r:id="rId5"/>
  </sheets>
  <definedNames>
    <definedName name="_xlnm.Print_Area" localSheetId="3">Artemether!$A$1:$I$129</definedName>
    <definedName name="_xlnm.Print_Area" localSheetId="4">Lumefantrine!$A$1:$I$129</definedName>
    <definedName name="_xlnm.Print_Area" localSheetId="0">'SST Artemether'!$A$15:$G$61</definedName>
    <definedName name="_xlnm.Print_Area" localSheetId="1">'SST Lumefantrine'!$A$15:$G$61</definedName>
    <definedName name="_xlnm.Print_Area" localSheetId="2">Uniformity!$A$12:$H$54</definedName>
  </definedNames>
  <calcPr calcId="144525"/>
</workbook>
</file>

<file path=xl/calcChain.xml><?xml version="1.0" encoding="utf-8"?>
<calcChain xmlns="http://schemas.openxmlformats.org/spreadsheetml/2006/main">
  <c r="B21" i="5" l="1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 l="1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B57" i="4"/>
  <c r="B69" i="4" s="1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I92" i="3" s="1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D44" i="3"/>
  <c r="F42" i="3"/>
  <c r="D42" i="3"/>
  <c r="B34" i="3"/>
  <c r="F44" i="3" s="1"/>
  <c r="B30" i="3"/>
  <c r="D50" i="2"/>
  <c r="D49" i="2"/>
  <c r="B49" i="2"/>
  <c r="C46" i="2"/>
  <c r="C50" i="2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F97" i="3"/>
  <c r="F98" i="3" s="1"/>
  <c r="G91" i="3" s="1"/>
  <c r="B69" i="3"/>
  <c r="I39" i="3"/>
  <c r="F45" i="3"/>
  <c r="F46" i="3" s="1"/>
  <c r="D45" i="3"/>
  <c r="E41" i="3" s="1"/>
  <c r="I92" i="4"/>
  <c r="D101" i="4"/>
  <c r="D102" i="4" s="1"/>
  <c r="F97" i="4"/>
  <c r="F98" i="4" s="1"/>
  <c r="F99" i="4" s="1"/>
  <c r="I39" i="4"/>
  <c r="F45" i="4"/>
  <c r="F46" i="4" s="1"/>
  <c r="D98" i="4"/>
  <c r="D99" i="4" s="1"/>
  <c r="G41" i="3"/>
  <c r="E38" i="3"/>
  <c r="E39" i="3"/>
  <c r="G92" i="4"/>
  <c r="E92" i="4"/>
  <c r="E93" i="4"/>
  <c r="E91" i="4"/>
  <c r="D98" i="3"/>
  <c r="E91" i="3" s="1"/>
  <c r="D49" i="4"/>
  <c r="G38" i="4"/>
  <c r="D49" i="3"/>
  <c r="D27" i="2"/>
  <c r="D31" i="2"/>
  <c r="D35" i="2"/>
  <c r="D39" i="2"/>
  <c r="D43" i="2"/>
  <c r="C49" i="2"/>
  <c r="D44" i="4"/>
  <c r="D45" i="4" s="1"/>
  <c r="D46" i="4" s="1"/>
  <c r="G92" i="3" l="1"/>
  <c r="G38" i="3"/>
  <c r="G40" i="3"/>
  <c r="G39" i="3"/>
  <c r="D46" i="3"/>
  <c r="E40" i="3"/>
  <c r="E42" i="3" s="1"/>
  <c r="E94" i="4"/>
  <c r="G94" i="4"/>
  <c r="G91" i="4"/>
  <c r="G93" i="4"/>
  <c r="G40" i="4"/>
  <c r="G39" i="4"/>
  <c r="G41" i="4"/>
  <c r="E38" i="4"/>
  <c r="E41" i="4"/>
  <c r="E40" i="4"/>
  <c r="D99" i="3"/>
  <c r="E92" i="3"/>
  <c r="E94" i="3"/>
  <c r="E93" i="3"/>
  <c r="E95" i="4"/>
  <c r="E39" i="4"/>
  <c r="F99" i="3"/>
  <c r="G93" i="3"/>
  <c r="G94" i="3"/>
  <c r="E95" i="3" l="1"/>
  <c r="G95" i="3"/>
  <c r="D52" i="3"/>
  <c r="G42" i="3"/>
  <c r="D50" i="3"/>
  <c r="G70" i="3" s="1"/>
  <c r="H70" i="3" s="1"/>
  <c r="D103" i="3"/>
  <c r="E110" i="3" s="1"/>
  <c r="F110" i="3" s="1"/>
  <c r="D105" i="3"/>
  <c r="D105" i="4"/>
  <c r="G95" i="4"/>
  <c r="D103" i="4"/>
  <c r="E111" i="4" s="1"/>
  <c r="F111" i="4" s="1"/>
  <c r="G42" i="4"/>
  <c r="D50" i="4"/>
  <c r="G63" i="4" s="1"/>
  <c r="H63" i="4" s="1"/>
  <c r="E42" i="4"/>
  <c r="D52" i="4"/>
  <c r="E113" i="3" l="1"/>
  <c r="F113" i="3" s="1"/>
  <c r="D104" i="3"/>
  <c r="E109" i="3"/>
  <c r="F109" i="3" s="1"/>
  <c r="E111" i="3"/>
  <c r="F111" i="3" s="1"/>
  <c r="E112" i="3"/>
  <c r="F112" i="3" s="1"/>
  <c r="E108" i="3"/>
  <c r="E119" i="3" s="1"/>
  <c r="D51" i="3"/>
  <c r="G60" i="3"/>
  <c r="G68" i="3"/>
  <c r="H68" i="3" s="1"/>
  <c r="G64" i="3"/>
  <c r="H64" i="3" s="1"/>
  <c r="G62" i="3"/>
  <c r="H62" i="3" s="1"/>
  <c r="G61" i="3"/>
  <c r="H61" i="3" s="1"/>
  <c r="G63" i="3"/>
  <c r="H63" i="3" s="1"/>
  <c r="G66" i="3"/>
  <c r="H66" i="3" s="1"/>
  <c r="G65" i="3"/>
  <c r="H65" i="3" s="1"/>
  <c r="G69" i="3"/>
  <c r="H69" i="3" s="1"/>
  <c r="G67" i="3"/>
  <c r="H67" i="3" s="1"/>
  <c r="G71" i="3"/>
  <c r="H71" i="3" s="1"/>
  <c r="E108" i="4"/>
  <c r="E110" i="4"/>
  <c r="F110" i="4" s="1"/>
  <c r="D104" i="4"/>
  <c r="E113" i="4"/>
  <c r="F113" i="4" s="1"/>
  <c r="E112" i="4"/>
  <c r="F112" i="4" s="1"/>
  <c r="E109" i="4"/>
  <c r="F109" i="4" s="1"/>
  <c r="G71" i="4"/>
  <c r="H71" i="4" s="1"/>
  <c r="G68" i="4"/>
  <c r="H68" i="4" s="1"/>
  <c r="D51" i="4"/>
  <c r="G65" i="4"/>
  <c r="H65" i="4" s="1"/>
  <c r="G62" i="4"/>
  <c r="H62" i="4" s="1"/>
  <c r="G64" i="4"/>
  <c r="H64" i="4" s="1"/>
  <c r="G67" i="4"/>
  <c r="H67" i="4" s="1"/>
  <c r="G66" i="4"/>
  <c r="H66" i="4" s="1"/>
  <c r="G70" i="4"/>
  <c r="H70" i="4" s="1"/>
  <c r="G69" i="4"/>
  <c r="H69" i="4" s="1"/>
  <c r="G61" i="4"/>
  <c r="H61" i="4" s="1"/>
  <c r="G60" i="4"/>
  <c r="F108" i="4"/>
  <c r="E117" i="3" l="1"/>
  <c r="E115" i="3"/>
  <c r="E116" i="3" s="1"/>
  <c r="F108" i="3"/>
  <c r="F125" i="3" s="1"/>
  <c r="E120" i="3"/>
  <c r="G74" i="3"/>
  <c r="G72" i="3"/>
  <c r="G73" i="3" s="1"/>
  <c r="H60" i="3"/>
  <c r="H74" i="3" s="1"/>
  <c r="E115" i="4"/>
  <c r="E116" i="4" s="1"/>
  <c r="E117" i="4"/>
  <c r="E120" i="4"/>
  <c r="E119" i="4"/>
  <c r="G74" i="4"/>
  <c r="G72" i="4"/>
  <c r="G73" i="4" s="1"/>
  <c r="H60" i="4"/>
  <c r="H72" i="4" s="1"/>
  <c r="D125" i="4"/>
  <c r="F115" i="4"/>
  <c r="F119" i="4"/>
  <c r="F125" i="4"/>
  <c r="F120" i="4"/>
  <c r="F117" i="4"/>
  <c r="F119" i="3"/>
  <c r="H74" i="4" l="1"/>
  <c r="F117" i="3"/>
  <c r="F120" i="3"/>
  <c r="F115" i="3"/>
  <c r="F116" i="3" s="1"/>
  <c r="D125" i="3"/>
  <c r="H72" i="3"/>
  <c r="G76" i="3" s="1"/>
  <c r="G124" i="4"/>
  <c r="F116" i="4"/>
  <c r="G124" i="3"/>
  <c r="G76" i="4"/>
  <c r="H73" i="4"/>
  <c r="H73" i="3" l="1"/>
</calcChain>
</file>

<file path=xl/sharedStrings.xml><?xml version="1.0" encoding="utf-8"?>
<sst xmlns="http://schemas.openxmlformats.org/spreadsheetml/2006/main" count="450" uniqueCount="139">
  <si>
    <t>HPLC System Suitability Report</t>
  </si>
  <si>
    <t>Analysis Data</t>
  </si>
  <si>
    <t>Assay</t>
  </si>
  <si>
    <t>Sample(s)</t>
  </si>
  <si>
    <t>Reference Substance:</t>
  </si>
  <si>
    <t>COARTEM®  DISPERSIBLE 20 mg/ 120 mg TABLETS</t>
  </si>
  <si>
    <t>% age Purity:</t>
  </si>
  <si>
    <t>NDQB201709188</t>
  </si>
  <si>
    <t>Weight (mg):</t>
  </si>
  <si>
    <t>Artemether &amp; Lumefantrine</t>
  </si>
  <si>
    <t>Standard Conc (mg/mL):</t>
  </si>
  <si>
    <t>Each Coartem Dispersible tablet contains Artemether 20 mg and Lumefantrine 120 mg.</t>
  </si>
  <si>
    <t>2017-09-27 09:26:21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</si>
  <si>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</si>
  <si>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</si>
  <si>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</si>
  <si>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</si>
  <si>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</si>
  <si>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</si>
  <si>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</si>
  <si>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</si>
  <si>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</si>
  <si>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</si>
  <si>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</si>
  <si>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</si>
  <si>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</si>
  <si>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</si>
  <si>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</si>
  <si>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</si>
  <si>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</si>
  <si>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</si>
  <si>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</si>
  <si>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</si>
  <si>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</si>
  <si>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</si>
  <si>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</si>
  <si>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</si>
  <si>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</si>
  <si>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</si>
  <si>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</si>
  <si>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</si>
  <si>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</si>
  <si>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</si>
  <si>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</si>
  <si>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</si>
  <si>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</si>
  <si>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</si>
  <si>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</si>
  <si>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</si>
  <si>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</si>
  <si>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</si>
  <si>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</si>
  <si>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</si>
  <si>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</si>
  <si>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</si>
  <si>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</si>
  <si>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</si>
  <si>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</si>
  <si>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</si>
  <si>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</si>
  <si>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</si>
  <si>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</si>
  <si>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</si>
  <si>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</si>
  <si>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</si>
  <si>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</si>
  <si>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</si>
  <si>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</si>
  <si>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</si>
  <si>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</si>
  <si>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</si>
  <si>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</si>
  <si>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</si>
  <si>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</si>
  <si>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</si>
  <si>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</si>
  <si>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</si>
  <si>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</si>
  <si>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</si>
  <si>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</si>
  <si>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</si>
  <si>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</si>
  <si>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</si>
  <si>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</si>
  <si>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</si>
  <si>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</si>
  <si>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</si>
  <si>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</si>
  <si>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</si>
  <si>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</si>
  <si>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</si>
  <si>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</si>
  <si>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</si>
  <si>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</si>
  <si>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</si>
  <si>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</si>
  <si>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</si>
  <si>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</si>
  <si>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</si>
  <si>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</si>
  <si>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</si>
  <si>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</si>
  <si>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</si>
  <si>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</si>
  <si>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</si>
  <si>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</si>
  <si>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</si>
  <si>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</si>
  <si>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</si>
  <si>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</si>
  <si>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</si>
  <si>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</si>
  <si>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</si>
  <si>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</si>
  <si>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</si>
  <si>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</si>
  <si>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</si>
  <si>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</si>
  <si>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</si>
  <si>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</si>
  <si>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</si>
  <si>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</si>
  <si>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</si>
  <si>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</si>
  <si>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</si>
  <si>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</si>
  <si>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</si>
  <si>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</si>
  <si>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</si>
  <si>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</si>
  <si>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</si>
  <si>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Lumefantrine</t>
  </si>
  <si>
    <t>L1-0</t>
  </si>
  <si>
    <t>Artemether</t>
  </si>
  <si>
    <t>A5-10</t>
  </si>
  <si>
    <t>Lumefantrine</t>
  </si>
  <si>
    <t xml:space="preserve">Artemether </t>
  </si>
  <si>
    <r>
      <t xml:space="preserve">The Assymetry of all peaks were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and </t>
    </r>
    <r>
      <rPr>
        <b/>
        <sz val="12"/>
        <color rgb="FF000000"/>
        <rFont val="Book Antiqua"/>
        <family val="1"/>
      </rPr>
      <t>NMT 4.5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</si>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</sst>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0" fontId="5" fillId="2" borderId="0" xfId="0" applyNumberFormat="1" applyFont="1" applyFill="1" applyAlignment="1">
      <alignment horizontal="center"/>
    </xf>
    <xf numFmtId="0" fontId="6" fillId="2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B28" sqref="B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136</v>
      </c>
      <c r="C18" s="10"/>
      <c r="D18" s="10"/>
      <c r="E18" s="10"/>
    </row>
    <row r="19" spans="1:6" ht="16.5" customHeight="1" x14ac:dyDescent="0.3">
      <c r="A19" s="11" t="s">
        <v>6</v>
      </c>
      <c r="B19" s="526">
        <v>98.932000000000002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10.59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10.59/25*10/20</f>
        <v>0.21179999999999999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673601</v>
      </c>
      <c r="C24" s="18">
        <v>5418.22</v>
      </c>
      <c r="D24" s="19">
        <v>0.94</v>
      </c>
      <c r="E24" s="20">
        <v>3.68</v>
      </c>
    </row>
    <row r="25" spans="1:6" ht="16.5" customHeight="1" x14ac:dyDescent="0.3">
      <c r="A25" s="17">
        <v>2</v>
      </c>
      <c r="B25" s="18">
        <v>674359</v>
      </c>
      <c r="C25" s="18">
        <v>5382.03</v>
      </c>
      <c r="D25" s="19">
        <v>0.94</v>
      </c>
      <c r="E25" s="19">
        <v>3.68</v>
      </c>
    </row>
    <row r="26" spans="1:6" ht="16.5" customHeight="1" x14ac:dyDescent="0.3">
      <c r="A26" s="17">
        <v>3</v>
      </c>
      <c r="B26" s="18">
        <v>673427</v>
      </c>
      <c r="C26" s="18">
        <v>5372.79</v>
      </c>
      <c r="D26" s="19">
        <v>0.94</v>
      </c>
      <c r="E26" s="19">
        <v>3.69</v>
      </c>
    </row>
    <row r="27" spans="1:6" ht="16.5" customHeight="1" x14ac:dyDescent="0.3">
      <c r="A27" s="17">
        <v>4</v>
      </c>
      <c r="B27" s="18">
        <v>676827</v>
      </c>
      <c r="C27" s="18">
        <v>5354.73</v>
      </c>
      <c r="D27" s="19">
        <v>0.93</v>
      </c>
      <c r="E27" s="19">
        <v>3.69</v>
      </c>
    </row>
    <row r="28" spans="1:6" ht="16.5" customHeight="1" x14ac:dyDescent="0.3">
      <c r="A28" s="17">
        <v>5</v>
      </c>
      <c r="B28" s="18">
        <v>674599</v>
      </c>
      <c r="C28" s="18">
        <v>5380.41</v>
      </c>
      <c r="D28" s="19">
        <v>0.93</v>
      </c>
      <c r="E28" s="19">
        <v>3.69</v>
      </c>
    </row>
    <row r="29" spans="1:6" ht="16.5" customHeight="1" x14ac:dyDescent="0.3">
      <c r="A29" s="17">
        <v>6</v>
      </c>
      <c r="B29" s="21">
        <v>674511</v>
      </c>
      <c r="C29" s="21">
        <v>5357.79</v>
      </c>
      <c r="D29" s="22">
        <v>0.93</v>
      </c>
      <c r="E29" s="22">
        <v>3.69</v>
      </c>
    </row>
    <row r="30" spans="1:6" ht="16.5" customHeight="1" x14ac:dyDescent="0.3">
      <c r="A30" s="23" t="s">
        <v>18</v>
      </c>
      <c r="B30" s="24">
        <f>AVERAGE(B24:B29)</f>
        <v>674554</v>
      </c>
      <c r="C30" s="25">
        <f>AVERAGE(C24:C29)</f>
        <v>5377.6616666666669</v>
      </c>
      <c r="D30" s="26">
        <f>AVERAGE(D24:D29)</f>
        <v>0.93499999999999994</v>
      </c>
      <c r="E30" s="26">
        <f>AVERAGE(E24:E29)</f>
        <v>3.686666666666667</v>
      </c>
    </row>
    <row r="31" spans="1:6" ht="16.5" customHeight="1" x14ac:dyDescent="0.3">
      <c r="A31" s="27" t="s">
        <v>19</v>
      </c>
      <c r="B31" s="28">
        <f>(STDEV(B24:B29)/B30)</f>
        <v>1.801878264991676E-3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527" t="s">
        <v>137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6" t="s">
        <v>26</v>
      </c>
      <c r="C59" s="47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138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4" sqref="C24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135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99.1</v>
      </c>
      <c r="C19" s="72"/>
      <c r="D19" s="72"/>
      <c r="E19" s="72"/>
    </row>
    <row r="20" spans="1:5" ht="16.5" customHeight="1" x14ac:dyDescent="0.3">
      <c r="A20" s="8" t="s">
        <v>8</v>
      </c>
      <c r="B20" s="12">
        <v>23.62</v>
      </c>
      <c r="C20" s="72"/>
      <c r="D20" s="72"/>
      <c r="E20" s="72"/>
    </row>
    <row r="21" spans="1:5" ht="16.5" customHeight="1" x14ac:dyDescent="0.3">
      <c r="A21" s="8" t="s">
        <v>10</v>
      </c>
      <c r="B21" s="13">
        <f>23.62/20</f>
        <v>1.181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297100234</v>
      </c>
      <c r="C24" s="18">
        <v>1414.76</v>
      </c>
      <c r="D24" s="19">
        <v>3.34</v>
      </c>
      <c r="E24" s="20">
        <v>6.07</v>
      </c>
    </row>
    <row r="25" spans="1:5" ht="16.5" customHeight="1" x14ac:dyDescent="0.3">
      <c r="A25" s="17">
        <v>2</v>
      </c>
      <c r="B25" s="18">
        <v>297761768</v>
      </c>
      <c r="C25" s="19">
        <v>1407.1</v>
      </c>
      <c r="D25" s="19">
        <v>3.32</v>
      </c>
      <c r="E25" s="19">
        <v>6.07</v>
      </c>
    </row>
    <row r="26" spans="1:5" ht="16.5" customHeight="1" x14ac:dyDescent="0.3">
      <c r="A26" s="17">
        <v>3</v>
      </c>
      <c r="B26" s="18">
        <v>297714187</v>
      </c>
      <c r="C26" s="18">
        <v>1411.71</v>
      </c>
      <c r="D26" s="19">
        <v>3.41</v>
      </c>
      <c r="E26" s="19">
        <v>6.08</v>
      </c>
    </row>
    <row r="27" spans="1:5" ht="16.5" customHeight="1" x14ac:dyDescent="0.3">
      <c r="A27" s="17">
        <v>4</v>
      </c>
      <c r="B27" s="18">
        <v>299229204</v>
      </c>
      <c r="C27" s="18">
        <v>1405.01</v>
      </c>
      <c r="D27" s="19">
        <v>3.35</v>
      </c>
      <c r="E27" s="19">
        <v>6.08</v>
      </c>
    </row>
    <row r="28" spans="1:5" ht="16.5" customHeight="1" x14ac:dyDescent="0.3">
      <c r="A28" s="17">
        <v>5</v>
      </c>
      <c r="B28" s="18">
        <v>298694491</v>
      </c>
      <c r="C28" s="18">
        <v>1408.34</v>
      </c>
      <c r="D28" s="19">
        <v>3.4129999999999998</v>
      </c>
      <c r="E28" s="19">
        <v>6.08</v>
      </c>
    </row>
    <row r="29" spans="1:5" ht="16.5" customHeight="1" x14ac:dyDescent="0.3">
      <c r="A29" s="17">
        <v>6</v>
      </c>
      <c r="B29" s="21">
        <v>298426876</v>
      </c>
      <c r="C29" s="21">
        <v>1406.45</v>
      </c>
      <c r="D29" s="22">
        <v>3.34</v>
      </c>
      <c r="E29" s="22">
        <v>6.08</v>
      </c>
    </row>
    <row r="30" spans="1:5" ht="16.5" customHeight="1" x14ac:dyDescent="0.3">
      <c r="A30" s="23" t="s">
        <v>18</v>
      </c>
      <c r="B30" s="24">
        <f>AVERAGE(B24:B29)</f>
        <v>298154460</v>
      </c>
      <c r="C30" s="25">
        <f>AVERAGE(C24:C29)</f>
        <v>1408.8950000000002</v>
      </c>
      <c r="D30" s="26">
        <f>AVERAGE(D24:D29)</f>
        <v>3.3621666666666665</v>
      </c>
      <c r="E30" s="26">
        <f>AVERAGE(E24:E29)</f>
        <v>6.0766666666666653</v>
      </c>
    </row>
    <row r="31" spans="1:5" ht="16.5" customHeight="1" x14ac:dyDescent="0.3">
      <c r="A31" s="27" t="s">
        <v>19</v>
      </c>
      <c r="B31" s="28">
        <f>(STDEV(B24:B29)/B30)</f>
        <v>2.5894524133472556E-3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527" t="s">
        <v>137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76" t="s">
        <v>26</v>
      </c>
      <c r="C59" s="476"/>
      <c r="E59" s="474" t="s">
        <v>27</v>
      </c>
      <c r="F59" s="46"/>
      <c r="G59" s="474" t="s">
        <v>28</v>
      </c>
    </row>
    <row r="60" spans="1:7" ht="15" customHeight="1" x14ac:dyDescent="0.3">
      <c r="A60" s="47" t="s">
        <v>29</v>
      </c>
      <c r="B60" s="49" t="s">
        <v>138</v>
      </c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6" sqref="D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0" t="s">
        <v>31</v>
      </c>
      <c r="B11" s="481"/>
      <c r="C11" s="481"/>
      <c r="D11" s="481"/>
      <c r="E11" s="481"/>
      <c r="F11" s="482"/>
      <c r="G11" s="91"/>
    </row>
    <row r="12" spans="1:7" ht="16.5" customHeight="1" x14ac:dyDescent="0.3">
      <c r="A12" s="479" t="s">
        <v>32</v>
      </c>
      <c r="B12" s="479"/>
      <c r="C12" s="479"/>
      <c r="D12" s="479"/>
      <c r="E12" s="479"/>
      <c r="F12" s="479"/>
      <c r="G12" s="90"/>
    </row>
    <row r="14" spans="1:7" ht="16.5" customHeight="1" x14ac:dyDescent="0.3">
      <c r="A14" s="484" t="s">
        <v>33</v>
      </c>
      <c r="B14" s="484"/>
      <c r="C14" s="60" t="s">
        <v>5</v>
      </c>
    </row>
    <row r="15" spans="1:7" ht="16.5" customHeight="1" x14ac:dyDescent="0.3">
      <c r="A15" s="484" t="s">
        <v>34</v>
      </c>
      <c r="B15" s="484"/>
      <c r="C15" s="60" t="s">
        <v>7</v>
      </c>
    </row>
    <row r="16" spans="1:7" ht="16.5" customHeight="1" x14ac:dyDescent="0.3">
      <c r="A16" s="484" t="s">
        <v>35</v>
      </c>
      <c r="B16" s="484"/>
      <c r="C16" s="60" t="s">
        <v>9</v>
      </c>
    </row>
    <row r="17" spans="1:5" ht="16.5" customHeight="1" x14ac:dyDescent="0.3">
      <c r="A17" s="484" t="s">
        <v>36</v>
      </c>
      <c r="B17" s="484"/>
      <c r="C17" s="60" t="s">
        <v>11</v>
      </c>
    </row>
    <row r="18" spans="1:5" ht="16.5" customHeight="1" x14ac:dyDescent="0.3">
      <c r="A18" s="484" t="s">
        <v>37</v>
      </c>
      <c r="B18" s="484"/>
      <c r="C18" s="97" t="s">
        <v>12</v>
      </c>
    </row>
    <row r="19" spans="1:5" ht="16.5" customHeight="1" x14ac:dyDescent="0.3">
      <c r="A19" s="484" t="s">
        <v>38</v>
      </c>
      <c r="B19" s="48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9" t="s">
        <v>1</v>
      </c>
      <c r="B21" s="479"/>
      <c r="C21" s="59" t="s">
        <v>39</v>
      </c>
      <c r="D21" s="66"/>
    </row>
    <row r="22" spans="1:5" ht="15.75" customHeight="1" x14ac:dyDescent="0.3">
      <c r="A22" s="483"/>
      <c r="B22" s="483"/>
      <c r="C22" s="57"/>
      <c r="D22" s="483"/>
      <c r="E22" s="48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288.49</v>
      </c>
      <c r="D24" s="87">
        <f t="shared" ref="D24:D43" si="0">(C24-$C$46)/$C$46</f>
        <v>8.6992398654556855E-3</v>
      </c>
      <c r="E24" s="53"/>
    </row>
    <row r="25" spans="1:5" ht="15.75" customHeight="1" x14ac:dyDescent="0.3">
      <c r="C25" s="95">
        <v>288.92</v>
      </c>
      <c r="D25" s="88">
        <f t="shared" si="0"/>
        <v>1.0202725855064173E-2</v>
      </c>
      <c r="E25" s="53"/>
    </row>
    <row r="26" spans="1:5" ht="15.75" customHeight="1" x14ac:dyDescent="0.3">
      <c r="C26" s="95">
        <v>285.64</v>
      </c>
      <c r="D26" s="88">
        <f t="shared" si="0"/>
        <v>-1.2657254145074734E-3</v>
      </c>
      <c r="E26" s="53"/>
    </row>
    <row r="27" spans="1:5" ht="15.75" customHeight="1" x14ac:dyDescent="0.3">
      <c r="C27" s="95">
        <v>285.99</v>
      </c>
      <c r="D27" s="88">
        <f t="shared" si="0"/>
        <v>-4.19577485470158E-5</v>
      </c>
      <c r="E27" s="53"/>
    </row>
    <row r="28" spans="1:5" ht="15.75" customHeight="1" x14ac:dyDescent="0.3">
      <c r="C28" s="95">
        <v>285.61</v>
      </c>
      <c r="D28" s="88">
        <f t="shared" si="0"/>
        <v>-1.3706197858754103E-3</v>
      </c>
      <c r="E28" s="53"/>
    </row>
    <row r="29" spans="1:5" ht="15.75" customHeight="1" x14ac:dyDescent="0.3">
      <c r="C29" s="95">
        <v>285.58</v>
      </c>
      <c r="D29" s="88">
        <f t="shared" si="0"/>
        <v>-1.4755141572435461E-3</v>
      </c>
      <c r="E29" s="53"/>
    </row>
    <row r="30" spans="1:5" ht="15.75" customHeight="1" x14ac:dyDescent="0.3">
      <c r="C30" s="95">
        <v>287.64999999999998</v>
      </c>
      <c r="D30" s="88">
        <f t="shared" si="0"/>
        <v>5.7621974671506664E-3</v>
      </c>
      <c r="E30" s="53"/>
    </row>
    <row r="31" spans="1:5" ht="15.75" customHeight="1" x14ac:dyDescent="0.3">
      <c r="C31" s="95">
        <v>285.99</v>
      </c>
      <c r="D31" s="88">
        <f t="shared" si="0"/>
        <v>-4.19577485470158E-5</v>
      </c>
      <c r="E31" s="53"/>
    </row>
    <row r="32" spans="1:5" ht="15.75" customHeight="1" x14ac:dyDescent="0.3">
      <c r="C32" s="95">
        <v>284.32</v>
      </c>
      <c r="D32" s="88">
        <f t="shared" si="0"/>
        <v>-5.8810777547008758E-3</v>
      </c>
      <c r="E32" s="53"/>
    </row>
    <row r="33" spans="1:7" ht="15.75" customHeight="1" x14ac:dyDescent="0.3">
      <c r="C33" s="95">
        <v>284.98</v>
      </c>
      <c r="D33" s="88">
        <f t="shared" si="0"/>
        <v>-3.5734015846040751E-3</v>
      </c>
      <c r="E33" s="53"/>
    </row>
    <row r="34" spans="1:7" ht="15.75" customHeight="1" x14ac:dyDescent="0.3">
      <c r="C34" s="95">
        <v>284.52999999999997</v>
      </c>
      <c r="D34" s="88">
        <f t="shared" si="0"/>
        <v>-5.1468171551247201E-3</v>
      </c>
      <c r="E34" s="53"/>
    </row>
    <row r="35" spans="1:7" ht="15.75" customHeight="1" x14ac:dyDescent="0.3">
      <c r="C35" s="95">
        <v>286.35000000000002</v>
      </c>
      <c r="D35" s="88">
        <f t="shared" si="0"/>
        <v>1.2167747078694207E-3</v>
      </c>
      <c r="E35" s="53"/>
    </row>
    <row r="36" spans="1:7" ht="15.75" customHeight="1" x14ac:dyDescent="0.3">
      <c r="C36" s="95">
        <v>287.95</v>
      </c>
      <c r="D36" s="88">
        <f t="shared" si="0"/>
        <v>6.8111411808310304E-3</v>
      </c>
      <c r="E36" s="53"/>
    </row>
    <row r="37" spans="1:7" ht="15.75" customHeight="1" x14ac:dyDescent="0.3">
      <c r="C37" s="95">
        <v>284.32</v>
      </c>
      <c r="D37" s="88">
        <f t="shared" si="0"/>
        <v>-5.8810777547008758E-3</v>
      </c>
      <c r="E37" s="53"/>
    </row>
    <row r="38" spans="1:7" ht="15.75" customHeight="1" x14ac:dyDescent="0.3">
      <c r="C38" s="95">
        <v>286.94</v>
      </c>
      <c r="D38" s="88">
        <f t="shared" si="0"/>
        <v>3.2796973447739709E-3</v>
      </c>
      <c r="E38" s="53"/>
    </row>
    <row r="39" spans="1:7" ht="15.75" customHeight="1" x14ac:dyDescent="0.3">
      <c r="C39" s="95">
        <v>285.68</v>
      </c>
      <c r="D39" s="88">
        <f t="shared" si="0"/>
        <v>-1.1258662526833587E-3</v>
      </c>
      <c r="E39" s="53"/>
    </row>
    <row r="40" spans="1:7" ht="15.75" customHeight="1" x14ac:dyDescent="0.3">
      <c r="C40" s="95">
        <v>284.36</v>
      </c>
      <c r="D40" s="88">
        <f t="shared" si="0"/>
        <v>-5.7412185928767609E-3</v>
      </c>
      <c r="E40" s="53"/>
    </row>
    <row r="41" spans="1:7" ht="15.75" customHeight="1" x14ac:dyDescent="0.3">
      <c r="C41" s="95">
        <v>286.67</v>
      </c>
      <c r="D41" s="88">
        <f t="shared" si="0"/>
        <v>2.3356480024617427E-3</v>
      </c>
      <c r="E41" s="53"/>
    </row>
    <row r="42" spans="1:7" ht="15.75" customHeight="1" x14ac:dyDescent="0.3">
      <c r="C42" s="95">
        <v>285.14999999999998</v>
      </c>
      <c r="D42" s="88">
        <f t="shared" si="0"/>
        <v>-2.9790001468520347E-3</v>
      </c>
      <c r="E42" s="53"/>
    </row>
    <row r="43" spans="1:7" ht="16.5" customHeight="1" x14ac:dyDescent="0.3">
      <c r="C43" s="96">
        <v>284.92</v>
      </c>
      <c r="D43" s="89">
        <f t="shared" si="0"/>
        <v>-3.7831903273401477E-3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5720.0399999999991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286.00199999999995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7">
        <f>C46</f>
        <v>286.00199999999995</v>
      </c>
      <c r="C49" s="93">
        <f>-IF(C46&lt;=80,10%,IF(C46&lt;250,7.5%,5%))</f>
        <v>-0.05</v>
      </c>
      <c r="D49" s="81">
        <f>IF(C46&lt;=80,C46*0.9,IF(C46&lt;250,C46*0.925,C46*0.95))</f>
        <v>271.70189999999997</v>
      </c>
    </row>
    <row r="50" spans="1:6" ht="17.25" customHeight="1" x14ac:dyDescent="0.3">
      <c r="B50" s="478"/>
      <c r="C50" s="94">
        <f>IF(C46&lt;=80, 10%, IF(C46&lt;250, 7.5%, 5%))</f>
        <v>0.05</v>
      </c>
      <c r="D50" s="81">
        <f>IF(C46&lt;=80, C46*1.1, IF(C46&lt;250, C46*1.075, C46*1.05))</f>
        <v>300.30209999999994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3" sqref="A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25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25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25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25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25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25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25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25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25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25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25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25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">
      <c r="A15" s="98"/>
    </row>
    <row r="16" spans="1:9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47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100" t="s">
        <v>33</v>
      </c>
      <c r="B18" s="517" t="s">
        <v>5</v>
      </c>
      <c r="C18" s="51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22" t="s">
        <v>133</v>
      </c>
      <c r="C20" s="52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22" t="s">
        <v>11</v>
      </c>
      <c r="C21" s="522"/>
      <c r="D21" s="522"/>
      <c r="E21" s="522"/>
      <c r="F21" s="522"/>
      <c r="G21" s="522"/>
      <c r="H21" s="522"/>
      <c r="I21" s="104"/>
    </row>
    <row r="22" spans="1:14" ht="26.25" customHeight="1" x14ac:dyDescent="0.4">
      <c r="A22" s="100" t="s">
        <v>37</v>
      </c>
      <c r="B22" s="105">
        <v>43153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43175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7" t="s">
        <v>133</v>
      </c>
      <c r="C26" s="517"/>
    </row>
    <row r="27" spans="1:14" ht="26.25" customHeight="1" x14ac:dyDescent="0.4">
      <c r="A27" s="109" t="s">
        <v>48</v>
      </c>
      <c r="B27" s="523" t="s">
        <v>134</v>
      </c>
      <c r="C27" s="523"/>
    </row>
    <row r="28" spans="1:14" ht="27" customHeight="1" x14ac:dyDescent="0.4">
      <c r="A28" s="109" t="s">
        <v>6</v>
      </c>
      <c r="B28" s="110">
        <v>98.932000000000002</v>
      </c>
    </row>
    <row r="29" spans="1:14" s="14" customFormat="1" ht="27" customHeight="1" x14ac:dyDescent="0.4">
      <c r="A29" s="109" t="s">
        <v>49</v>
      </c>
      <c r="B29" s="111">
        <v>0</v>
      </c>
      <c r="C29" s="493" t="s">
        <v>50</v>
      </c>
      <c r="D29" s="494"/>
      <c r="E29" s="494"/>
      <c r="F29" s="494"/>
      <c r="G29" s="49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98.932000000000002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6" t="s">
        <v>53</v>
      </c>
      <c r="D31" s="497"/>
      <c r="E31" s="497"/>
      <c r="F31" s="497"/>
      <c r="G31" s="497"/>
      <c r="H31" s="49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6" t="s">
        <v>55</v>
      </c>
      <c r="D32" s="497"/>
      <c r="E32" s="497"/>
      <c r="F32" s="497"/>
      <c r="G32" s="497"/>
      <c r="H32" s="4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499" t="s">
        <v>59</v>
      </c>
      <c r="E36" s="524"/>
      <c r="F36" s="499" t="s">
        <v>60</v>
      </c>
      <c r="G36" s="50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674423</v>
      </c>
      <c r="E38" s="133">
        <f>IF(ISBLANK(D38),"-",$D$48/$D$45*D38)</f>
        <v>643723.88516342267</v>
      </c>
      <c r="F38" s="132">
        <v>722373</v>
      </c>
      <c r="G38" s="134">
        <f>IF(ISBLANK(F38),"-",$D$48/$F$45*F38)</f>
        <v>630545.10252397158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671177</v>
      </c>
      <c r="E39" s="138">
        <f>IF(ISBLANK(D39),"-",$D$48/$D$45*D39)</f>
        <v>640625.64009876677</v>
      </c>
      <c r="F39" s="137">
        <v>714223</v>
      </c>
      <c r="G39" s="139">
        <f>IF(ISBLANK(F39),"-",$D$48/$F$45*F39)</f>
        <v>623431.12873817061</v>
      </c>
      <c r="I39" s="501">
        <f>ABS((F43/D43*D42)-F42)/D42</f>
        <v>1.7101427392370548E-2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661064</v>
      </c>
      <c r="E40" s="138">
        <f>IF(ISBLANK(D40),"-",$D$48/$D$45*D40)</f>
        <v>630972.97455999104</v>
      </c>
      <c r="F40" s="137">
        <v>723343</v>
      </c>
      <c r="G40" s="139">
        <f>IF(ISBLANK(F40),"-",$D$48/$F$45*F40)</f>
        <v>631391.79633651476</v>
      </c>
      <c r="I40" s="50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668888</v>
      </c>
      <c r="E42" s="148">
        <f>AVERAGE(E38:E41)</f>
        <v>638440.83327406028</v>
      </c>
      <c r="F42" s="147">
        <f>AVERAGE(F38:F41)</f>
        <v>719979.66666666663</v>
      </c>
      <c r="G42" s="149">
        <f>AVERAGE(G38:G41)</f>
        <v>628456.00919955235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10.59</v>
      </c>
      <c r="E43" s="140"/>
      <c r="F43" s="152">
        <v>11.58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10.59</v>
      </c>
      <c r="E44" s="155"/>
      <c r="F44" s="154">
        <f>F43*$B$34</f>
        <v>11.58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10.476898799999999</v>
      </c>
      <c r="E45" s="158"/>
      <c r="F45" s="157">
        <f>F44*$B$30/100</f>
        <v>11.4563256</v>
      </c>
      <c r="H45" s="150"/>
    </row>
    <row r="46" spans="1:14" ht="19.5" customHeight="1" x14ac:dyDescent="0.3">
      <c r="A46" s="487" t="s">
        <v>78</v>
      </c>
      <c r="B46" s="488"/>
      <c r="C46" s="153" t="s">
        <v>79</v>
      </c>
      <c r="D46" s="159">
        <f>D45/$B$45</f>
        <v>0.20953797599999999</v>
      </c>
      <c r="E46" s="160"/>
      <c r="F46" s="161">
        <f>F45/$B$45</f>
        <v>0.229126512</v>
      </c>
      <c r="H46" s="150"/>
    </row>
    <row r="47" spans="1:14" ht="27" customHeight="1" x14ac:dyDescent="0.4">
      <c r="A47" s="489"/>
      <c r="B47" s="490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633448.4212368062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1.1733825292718193E-2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Coartem Dispersible tablet contains Artemether 20 mg and Lumefantrine 120 mg.</v>
      </c>
    </row>
    <row r="56" spans="1:12" ht="26.25" customHeight="1" x14ac:dyDescent="0.4">
      <c r="A56" s="177" t="s">
        <v>87</v>
      </c>
      <c r="B56" s="178">
        <v>20</v>
      </c>
      <c r="C56" s="99" t="str">
        <f>B20</f>
        <v>Artemether</v>
      </c>
      <c r="H56" s="179"/>
    </row>
    <row r="57" spans="1:12" ht="18.75" x14ac:dyDescent="0.3">
      <c r="A57" s="176" t="s">
        <v>88</v>
      </c>
      <c r="B57" s="247">
        <f>Uniformity!C46</f>
        <v>286.00199999999995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504" t="s">
        <v>94</v>
      </c>
      <c r="D60" s="507">
        <v>282.89999999999998</v>
      </c>
      <c r="E60" s="182">
        <v>1</v>
      </c>
      <c r="F60" s="183">
        <v>583430</v>
      </c>
      <c r="G60" s="248">
        <f>IF(ISBLANK(F60),"-",(F60/$D$50*$D$47*$B$68)*($B$57/$D$60))</f>
        <v>18.622741592499104</v>
      </c>
      <c r="H60" s="266">
        <f t="shared" ref="H60:H71" si="0">IF(ISBLANK(F60),"-",(G60/$B$56)*100)</f>
        <v>93.113707962495511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505"/>
      <c r="D61" s="508"/>
      <c r="E61" s="184">
        <v>2</v>
      </c>
      <c r="F61" s="137">
        <v>589328</v>
      </c>
      <c r="G61" s="249">
        <f>IF(ISBLANK(F61),"-",(F61/$D$50*$D$47*$B$68)*($B$57/$D$60))</f>
        <v>18.811002274864698</v>
      </c>
      <c r="H61" s="267">
        <f t="shared" si="0"/>
        <v>94.055011374323499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5"/>
      <c r="D62" s="508"/>
      <c r="E62" s="184">
        <v>3</v>
      </c>
      <c r="F62" s="185">
        <v>580647</v>
      </c>
      <c r="G62" s="249">
        <f>IF(ISBLANK(F62),"-",(F62/$D$50*$D$47*$B$68)*($B$57/$D$60))</f>
        <v>18.533909873437821</v>
      </c>
      <c r="H62" s="267">
        <f t="shared" si="0"/>
        <v>92.669549367189106</v>
      </c>
      <c r="L62" s="112"/>
    </row>
    <row r="63" spans="1:12" ht="27" customHeight="1" x14ac:dyDescent="0.4">
      <c r="A63" s="124" t="s">
        <v>97</v>
      </c>
      <c r="B63" s="125">
        <v>1</v>
      </c>
      <c r="C63" s="514"/>
      <c r="D63" s="50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4" t="s">
        <v>99</v>
      </c>
      <c r="D64" s="507">
        <v>278.47000000000003</v>
      </c>
      <c r="E64" s="182">
        <v>1</v>
      </c>
      <c r="F64" s="183">
        <v>595085</v>
      </c>
      <c r="G64" s="248">
        <f>IF(ISBLANK(F64),"-",(F64/$D$50*$D$47*$B$68)*($B$57/$D$64))</f>
        <v>19.296937768636191</v>
      </c>
      <c r="H64" s="266">
        <f t="shared" si="0"/>
        <v>96.484688843180948</v>
      </c>
    </row>
    <row r="65" spans="1:8" ht="26.25" customHeight="1" x14ac:dyDescent="0.4">
      <c r="A65" s="124" t="s">
        <v>100</v>
      </c>
      <c r="B65" s="125">
        <v>1</v>
      </c>
      <c r="C65" s="505"/>
      <c r="D65" s="508"/>
      <c r="E65" s="184">
        <v>2</v>
      </c>
      <c r="F65" s="137">
        <v>589488</v>
      </c>
      <c r="G65" s="249">
        <f>IF(ISBLANK(F65),"-",(F65/$D$50*$D$47*$B$68)*($B$57/$D$64))</f>
        <v>19.115442754157492</v>
      </c>
      <c r="H65" s="267">
        <f t="shared" si="0"/>
        <v>95.577213770787466</v>
      </c>
    </row>
    <row r="66" spans="1:8" ht="26.25" customHeight="1" x14ac:dyDescent="0.4">
      <c r="A66" s="124" t="s">
        <v>101</v>
      </c>
      <c r="B66" s="125">
        <v>1</v>
      </c>
      <c r="C66" s="505"/>
      <c r="D66" s="508"/>
      <c r="E66" s="184">
        <v>3</v>
      </c>
      <c r="F66" s="137">
        <v>597883</v>
      </c>
      <c r="G66" s="249">
        <f>IF(ISBLANK(F66),"-",(F66/$D$50*$D$47*$B$68)*($B$57/$D$64))</f>
        <v>19.387669062277677</v>
      </c>
      <c r="H66" s="267">
        <f t="shared" si="0"/>
        <v>96.938345311388389</v>
      </c>
    </row>
    <row r="67" spans="1:8" ht="27" customHeight="1" x14ac:dyDescent="0.4">
      <c r="A67" s="124" t="s">
        <v>102</v>
      </c>
      <c r="B67" s="125">
        <v>1</v>
      </c>
      <c r="C67" s="514"/>
      <c r="D67" s="50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504" t="s">
        <v>104</v>
      </c>
      <c r="D68" s="507">
        <v>295.24</v>
      </c>
      <c r="E68" s="182">
        <v>1</v>
      </c>
      <c r="F68" s="183">
        <v>632338</v>
      </c>
      <c r="G68" s="248">
        <f>IF(ISBLANK(F68),"-",(F68/$D$50*$D$47*$B$68)*($B$57/$D$68))</f>
        <v>19.340241481188126</v>
      </c>
      <c r="H68" s="267">
        <f t="shared" si="0"/>
        <v>96.701207405940636</v>
      </c>
    </row>
    <row r="69" spans="1:8" ht="27" customHeight="1" x14ac:dyDescent="0.4">
      <c r="A69" s="172" t="s">
        <v>105</v>
      </c>
      <c r="B69" s="189">
        <f>(D47*B68)/B56*B57</f>
        <v>286.00199999999995</v>
      </c>
      <c r="C69" s="505"/>
      <c r="D69" s="508"/>
      <c r="E69" s="184">
        <v>2</v>
      </c>
      <c r="F69" s="137">
        <v>624279</v>
      </c>
      <c r="G69" s="249">
        <f>IF(ISBLANK(F69),"-",(F69/$D$50*$D$47*$B$68)*($B$57/$D$68))</f>
        <v>19.093754624322184</v>
      </c>
      <c r="H69" s="267">
        <f t="shared" si="0"/>
        <v>95.468773121610923</v>
      </c>
    </row>
    <row r="70" spans="1:8" ht="26.25" customHeight="1" x14ac:dyDescent="0.4">
      <c r="A70" s="510" t="s">
        <v>78</v>
      </c>
      <c r="B70" s="511"/>
      <c r="C70" s="505"/>
      <c r="D70" s="508"/>
      <c r="E70" s="184">
        <v>3</v>
      </c>
      <c r="F70" s="137">
        <v>637375</v>
      </c>
      <c r="G70" s="249">
        <f>IF(ISBLANK(F70),"-",(F70/$D$50*$D$47*$B$68)*($B$57/$D$68))</f>
        <v>19.494299589890659</v>
      </c>
      <c r="H70" s="267">
        <f t="shared" si="0"/>
        <v>97.471497949453294</v>
      </c>
    </row>
    <row r="71" spans="1:8" ht="27" customHeight="1" x14ac:dyDescent="0.4">
      <c r="A71" s="512"/>
      <c r="B71" s="513"/>
      <c r="C71" s="506"/>
      <c r="D71" s="50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19.077333224585995</v>
      </c>
      <c r="H72" s="269">
        <f>AVERAGE(H60:H71)</f>
        <v>95.386666122929981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1.8178366832234387E-2</v>
      </c>
      <c r="H73" s="253">
        <f>STDEV(H60:H71)/H72</f>
        <v>1.8178366832234394E-2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491" t="str">
        <f>B26</f>
        <v>Artemether</v>
      </c>
      <c r="D76" s="491"/>
      <c r="E76" s="198" t="s">
        <v>108</v>
      </c>
      <c r="F76" s="198"/>
      <c r="G76" s="285">
        <f>H72</f>
        <v>95.386666122929981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5" t="str">
        <f>B26</f>
        <v>Artemether</v>
      </c>
      <c r="C79" s="525"/>
    </row>
    <row r="80" spans="1:8" ht="26.25" customHeight="1" x14ac:dyDescent="0.4">
      <c r="A80" s="109" t="s">
        <v>48</v>
      </c>
      <c r="B80" s="525" t="str">
        <f>B27</f>
        <v>A5-10</v>
      </c>
      <c r="C80" s="525"/>
    </row>
    <row r="81" spans="1:12" ht="27" customHeight="1" x14ac:dyDescent="0.4">
      <c r="A81" s="109" t="s">
        <v>6</v>
      </c>
      <c r="B81" s="201">
        <f>B28</f>
        <v>98.932000000000002</v>
      </c>
    </row>
    <row r="82" spans="1:12" s="14" customFormat="1" ht="27" customHeight="1" x14ac:dyDescent="0.4">
      <c r="A82" s="109" t="s">
        <v>49</v>
      </c>
      <c r="B82" s="111">
        <v>0</v>
      </c>
      <c r="C82" s="493" t="s">
        <v>50</v>
      </c>
      <c r="D82" s="494"/>
      <c r="E82" s="494"/>
      <c r="F82" s="494"/>
      <c r="G82" s="49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98.932000000000002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6" t="s">
        <v>111</v>
      </c>
      <c r="D84" s="497"/>
      <c r="E84" s="497"/>
      <c r="F84" s="497"/>
      <c r="G84" s="497"/>
      <c r="H84" s="49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6" t="s">
        <v>112</v>
      </c>
      <c r="D85" s="497"/>
      <c r="E85" s="497"/>
      <c r="F85" s="497"/>
      <c r="G85" s="497"/>
      <c r="H85" s="49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</v>
      </c>
      <c r="D89" s="202" t="s">
        <v>59</v>
      </c>
      <c r="E89" s="203"/>
      <c r="F89" s="499" t="s">
        <v>60</v>
      </c>
      <c r="G89" s="500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501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50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0</v>
      </c>
      <c r="E97" s="155"/>
      <c r="F97" s="154">
        <f>F96*$B$87</f>
        <v>0</v>
      </c>
    </row>
    <row r="98" spans="1:10" ht="19.5" customHeight="1" x14ac:dyDescent="0.3">
      <c r="A98" s="124" t="s">
        <v>76</v>
      </c>
      <c r="B98" s="217">
        <f>(B97/B96)*(B95/B94)*(B93/B92)*(B91/B90)*B89</f>
        <v>1</v>
      </c>
      <c r="C98" s="215" t="s">
        <v>115</v>
      </c>
      <c r="D98" s="218">
        <f>D97*$B$83/100</f>
        <v>0</v>
      </c>
      <c r="E98" s="158"/>
      <c r="F98" s="157">
        <f>F97*$B$83/100</f>
        <v>0</v>
      </c>
    </row>
    <row r="99" spans="1:10" ht="19.5" customHeight="1" x14ac:dyDescent="0.3">
      <c r="A99" s="487" t="s">
        <v>78</v>
      </c>
      <c r="B99" s="502"/>
      <c r="C99" s="215" t="s">
        <v>116</v>
      </c>
      <c r="D99" s="219">
        <f>D98/$B$98</f>
        <v>0</v>
      </c>
      <c r="E99" s="158"/>
      <c r="F99" s="161">
        <f>F98/$B$98</f>
        <v>0</v>
      </c>
      <c r="G99" s="220"/>
      <c r="H99" s="150"/>
    </row>
    <row r="100" spans="1:10" ht="19.5" customHeight="1" x14ac:dyDescent="0.3">
      <c r="A100" s="489"/>
      <c r="B100" s="503"/>
      <c r="C100" s="215" t="s">
        <v>80</v>
      </c>
      <c r="D100" s="221">
        <f>$B$56/$B$116</f>
        <v>20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20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20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1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487" t="s">
        <v>78</v>
      </c>
      <c r="B117" s="488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489"/>
      <c r="B118" s="490"/>
      <c r="C118" s="98"/>
      <c r="D118" s="260"/>
      <c r="E118" s="515" t="s">
        <v>123</v>
      </c>
      <c r="F118" s="51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91" t="str">
        <f>B26</f>
        <v>Artemether</v>
      </c>
      <c r="D124" s="491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92" t="s">
        <v>26</v>
      </c>
      <c r="C127" s="492"/>
      <c r="E127" s="204" t="s">
        <v>27</v>
      </c>
      <c r="F127" s="239"/>
      <c r="G127" s="492" t="s">
        <v>28</v>
      </c>
      <c r="H127" s="49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2" sqref="A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25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25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25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25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25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25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25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25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25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25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25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25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">
      <c r="A15" s="286"/>
    </row>
    <row r="16" spans="1:9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47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288" t="s">
        <v>33</v>
      </c>
      <c r="B18" s="517" t="s">
        <v>5</v>
      </c>
      <c r="C18" s="517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522" t="s">
        <v>131</v>
      </c>
      <c r="C20" s="522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522" t="s">
        <v>11</v>
      </c>
      <c r="C21" s="522"/>
      <c r="D21" s="522"/>
      <c r="E21" s="522"/>
      <c r="F21" s="522"/>
      <c r="G21" s="522"/>
      <c r="H21" s="522"/>
      <c r="I21" s="292"/>
    </row>
    <row r="22" spans="1:14" ht="26.25" customHeight="1" x14ac:dyDescent="0.4">
      <c r="A22" s="288" t="s">
        <v>37</v>
      </c>
      <c r="B22" s="293">
        <v>43153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>
        <v>43175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517" t="s">
        <v>131</v>
      </c>
      <c r="C26" s="517"/>
    </row>
    <row r="27" spans="1:14" ht="26.25" customHeight="1" x14ac:dyDescent="0.4">
      <c r="A27" s="297" t="s">
        <v>48</v>
      </c>
      <c r="B27" s="523" t="s">
        <v>132</v>
      </c>
      <c r="C27" s="523"/>
    </row>
    <row r="28" spans="1:14" ht="27" customHeight="1" x14ac:dyDescent="0.4">
      <c r="A28" s="297" t="s">
        <v>6</v>
      </c>
      <c r="B28" s="298">
        <v>99.1</v>
      </c>
    </row>
    <row r="29" spans="1:14" s="14" customFormat="1" ht="27" customHeight="1" x14ac:dyDescent="0.4">
      <c r="A29" s="297" t="s">
        <v>49</v>
      </c>
      <c r="B29" s="299">
        <v>0</v>
      </c>
      <c r="C29" s="493" t="s">
        <v>50</v>
      </c>
      <c r="D29" s="494"/>
      <c r="E29" s="494"/>
      <c r="F29" s="494"/>
      <c r="G29" s="495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99.1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6" t="s">
        <v>53</v>
      </c>
      <c r="D31" s="497"/>
      <c r="E31" s="497"/>
      <c r="F31" s="497"/>
      <c r="G31" s="497"/>
      <c r="H31" s="498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6" t="s">
        <v>55</v>
      </c>
      <c r="D32" s="497"/>
      <c r="E32" s="497"/>
      <c r="F32" s="497"/>
      <c r="G32" s="497"/>
      <c r="H32" s="498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20</v>
      </c>
      <c r="C36" s="287"/>
      <c r="D36" s="499" t="s">
        <v>59</v>
      </c>
      <c r="E36" s="524"/>
      <c r="F36" s="499" t="s">
        <v>60</v>
      </c>
      <c r="G36" s="500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1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</v>
      </c>
      <c r="C38" s="319">
        <v>1</v>
      </c>
      <c r="D38" s="320">
        <v>299170399</v>
      </c>
      <c r="E38" s="321">
        <f>IF(ISBLANK(D38),"-",$D$48/$D$45*D38)</f>
        <v>306744168.13130188</v>
      </c>
      <c r="F38" s="320">
        <v>307880129</v>
      </c>
      <c r="G38" s="322">
        <f>IF(ISBLANK(F38),"-",$D$48/$F$45*F38)</f>
        <v>304211715.97004628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299119865</v>
      </c>
      <c r="E39" s="326">
        <f>IF(ISBLANK(D39),"-",$D$48/$D$45*D39)</f>
        <v>306692354.81740397</v>
      </c>
      <c r="F39" s="325">
        <v>304759515</v>
      </c>
      <c r="G39" s="327">
        <f>IF(ISBLANK(F39),"-",$D$48/$F$45*F39)</f>
        <v>301128284.30167717</v>
      </c>
      <c r="I39" s="501">
        <f>ABS((F43/D43*D42)-F42)/D42</f>
        <v>8.4440818091755607E-3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296201006</v>
      </c>
      <c r="E40" s="326">
        <f>IF(ISBLANK(D40),"-",$D$48/$D$45*D40)</f>
        <v>303699602.26287216</v>
      </c>
      <c r="F40" s="325">
        <v>308002839</v>
      </c>
      <c r="G40" s="327">
        <f>IF(ISBLANK(F40),"-",$D$48/$F$45*F40)</f>
        <v>304332963.87190968</v>
      </c>
      <c r="I40" s="501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298163756.66666669</v>
      </c>
      <c r="E42" s="336">
        <f>AVERAGE(E38:E41)</f>
        <v>305712041.73719269</v>
      </c>
      <c r="F42" s="335">
        <f>AVERAGE(F38:F41)</f>
        <v>306880827.66666669</v>
      </c>
      <c r="G42" s="337">
        <f>AVERAGE(G38:G41)</f>
        <v>303224321.38121104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23.62</v>
      </c>
      <c r="E43" s="328"/>
      <c r="F43" s="340">
        <v>24.51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23.62</v>
      </c>
      <c r="E44" s="343"/>
      <c r="F44" s="342">
        <f>F43*$B$34</f>
        <v>24.51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20</v>
      </c>
      <c r="C45" s="341" t="s">
        <v>77</v>
      </c>
      <c r="D45" s="345">
        <f>D44*$B$30/100</f>
        <v>23.407420000000002</v>
      </c>
      <c r="E45" s="346"/>
      <c r="F45" s="345">
        <f>F44*$B$30/100</f>
        <v>24.289409999999997</v>
      </c>
      <c r="H45" s="338"/>
    </row>
    <row r="46" spans="1:14" ht="19.5" customHeight="1" x14ac:dyDescent="0.3">
      <c r="A46" s="487" t="s">
        <v>78</v>
      </c>
      <c r="B46" s="488"/>
      <c r="C46" s="341" t="s">
        <v>79</v>
      </c>
      <c r="D46" s="347">
        <f>D45/$B$45</f>
        <v>1.1703710000000001</v>
      </c>
      <c r="E46" s="348"/>
      <c r="F46" s="349">
        <f>F45/$B$45</f>
        <v>1.2144704999999998</v>
      </c>
      <c r="H46" s="338"/>
    </row>
    <row r="47" spans="1:14" ht="27" customHeight="1" x14ac:dyDescent="0.4">
      <c r="A47" s="489"/>
      <c r="B47" s="490"/>
      <c r="C47" s="350" t="s">
        <v>80</v>
      </c>
      <c r="D47" s="351">
        <v>1.2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24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24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304468181.5592019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6.882672283512305E-3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Coartem Dispersible tablet contains Artemether 20 mg and Lumefantrine 120 mg.</v>
      </c>
    </row>
    <row r="56" spans="1:12" ht="26.25" customHeight="1" x14ac:dyDescent="0.4">
      <c r="A56" s="365" t="s">
        <v>87</v>
      </c>
      <c r="B56" s="366">
        <v>120</v>
      </c>
      <c r="C56" s="287" t="str">
        <f>B20</f>
        <v xml:space="preserve"> Lumefantrine</v>
      </c>
      <c r="H56" s="367"/>
    </row>
    <row r="57" spans="1:12" ht="18.75" x14ac:dyDescent="0.3">
      <c r="A57" s="364" t="s">
        <v>88</v>
      </c>
      <c r="B57" s="435">
        <f>Uniformity!C46</f>
        <v>286.00199999999995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1</v>
      </c>
      <c r="C60" s="504" t="s">
        <v>94</v>
      </c>
      <c r="D60" s="507">
        <v>282.89999999999998</v>
      </c>
      <c r="E60" s="370">
        <v>1</v>
      </c>
      <c r="F60" s="371">
        <v>285778811</v>
      </c>
      <c r="G60" s="436">
        <f>IF(ISBLANK(F60),"-",(F60/$D$50*$D$47*$B$68)*($B$57/$D$60))</f>
        <v>113.86899308755594</v>
      </c>
      <c r="H60" s="454">
        <f t="shared" ref="H60:H71" si="0">IF(ISBLANK(F60),"-",(G60/$B$56)*100)</f>
        <v>94.890827572963275</v>
      </c>
      <c r="L60" s="300"/>
    </row>
    <row r="61" spans="1:12" s="14" customFormat="1" ht="26.25" customHeight="1" x14ac:dyDescent="0.4">
      <c r="A61" s="312" t="s">
        <v>95</v>
      </c>
      <c r="B61" s="313">
        <v>1</v>
      </c>
      <c r="C61" s="505"/>
      <c r="D61" s="508"/>
      <c r="E61" s="372">
        <v>2</v>
      </c>
      <c r="F61" s="325">
        <v>290059417</v>
      </c>
      <c r="G61" s="437">
        <f>IF(ISBLANK(F61),"-",(F61/$D$50*$D$47*$B$68)*($B$57/$D$60))</f>
        <v>115.5746069268708</v>
      </c>
      <c r="H61" s="455">
        <f t="shared" si="0"/>
        <v>96.312172439058997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05"/>
      <c r="D62" s="508"/>
      <c r="E62" s="372">
        <v>3</v>
      </c>
      <c r="F62" s="373">
        <v>285651370</v>
      </c>
      <c r="G62" s="437">
        <f>IF(ISBLANK(F62),"-",(F62/$D$50*$D$47*$B$68)*($B$57/$D$60))</f>
        <v>113.81821403120361</v>
      </c>
      <c r="H62" s="455">
        <f t="shared" si="0"/>
        <v>94.848511692669675</v>
      </c>
      <c r="L62" s="300"/>
    </row>
    <row r="63" spans="1:12" ht="27" customHeight="1" x14ac:dyDescent="0.4">
      <c r="A63" s="312" t="s">
        <v>97</v>
      </c>
      <c r="B63" s="313">
        <v>1</v>
      </c>
      <c r="C63" s="514"/>
      <c r="D63" s="509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4" t="s">
        <v>99</v>
      </c>
      <c r="D64" s="507">
        <v>278.47000000000003</v>
      </c>
      <c r="E64" s="370">
        <v>1</v>
      </c>
      <c r="F64" s="371">
        <v>293857382</v>
      </c>
      <c r="G64" s="436">
        <f>IF(ISBLANK(F64),"-",(F64/$D$50*$D$47*$B$68)*($B$57/$D$64))</f>
        <v>118.95058796782267</v>
      </c>
      <c r="H64" s="454">
        <f t="shared" si="0"/>
        <v>99.125489973185552</v>
      </c>
    </row>
    <row r="65" spans="1:8" ht="26.25" customHeight="1" x14ac:dyDescent="0.4">
      <c r="A65" s="312" t="s">
        <v>100</v>
      </c>
      <c r="B65" s="313">
        <v>1</v>
      </c>
      <c r="C65" s="505"/>
      <c r="D65" s="508"/>
      <c r="E65" s="372">
        <v>2</v>
      </c>
      <c r="F65" s="325">
        <v>290076425</v>
      </c>
      <c r="G65" s="437">
        <f>IF(ISBLANK(F65),"-",(F65/$D$50*$D$47*$B$68)*($B$57/$D$64))</f>
        <v>117.42009363356409</v>
      </c>
      <c r="H65" s="455">
        <f t="shared" si="0"/>
        <v>97.850078027970085</v>
      </c>
    </row>
    <row r="66" spans="1:8" ht="26.25" customHeight="1" x14ac:dyDescent="0.4">
      <c r="A66" s="312" t="s">
        <v>101</v>
      </c>
      <c r="B66" s="313">
        <v>1</v>
      </c>
      <c r="C66" s="505"/>
      <c r="D66" s="508"/>
      <c r="E66" s="372">
        <v>3</v>
      </c>
      <c r="F66" s="325">
        <v>294124306</v>
      </c>
      <c r="G66" s="437">
        <f>IF(ISBLANK(F66),"-",(F66/$D$50*$D$47*$B$68)*($B$57/$D$64))</f>
        <v>119.05863618674651</v>
      </c>
      <c r="H66" s="455">
        <f t="shared" si="0"/>
        <v>99.215530155622091</v>
      </c>
    </row>
    <row r="67" spans="1:8" ht="27" customHeight="1" x14ac:dyDescent="0.4">
      <c r="A67" s="312" t="s">
        <v>102</v>
      </c>
      <c r="B67" s="313">
        <v>1</v>
      </c>
      <c r="C67" s="514"/>
      <c r="D67" s="509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100</v>
      </c>
      <c r="C68" s="504" t="s">
        <v>104</v>
      </c>
      <c r="D68" s="507">
        <v>295.24</v>
      </c>
      <c r="E68" s="370">
        <v>1</v>
      </c>
      <c r="F68" s="371">
        <v>312151499</v>
      </c>
      <c r="G68" s="436">
        <f>IF(ISBLANK(F68),"-",(F68/$D$50*$D$47*$B$68)*($B$57/$D$68))</f>
        <v>119.17869646477139</v>
      </c>
      <c r="H68" s="455">
        <f t="shared" si="0"/>
        <v>99.315580387309481</v>
      </c>
    </row>
    <row r="69" spans="1:8" ht="27" customHeight="1" x14ac:dyDescent="0.4">
      <c r="A69" s="360" t="s">
        <v>105</v>
      </c>
      <c r="B69" s="377">
        <f>(D47*B68)/B56*B57</f>
        <v>286.00199999999995</v>
      </c>
      <c r="C69" s="505"/>
      <c r="D69" s="508"/>
      <c r="E69" s="372">
        <v>2</v>
      </c>
      <c r="F69" s="325">
        <v>306224917</v>
      </c>
      <c r="G69" s="437">
        <f>IF(ISBLANK(F69),"-",(F69/$D$50*$D$47*$B$68)*($B$57/$D$68))</f>
        <v>116.91594161812056</v>
      </c>
      <c r="H69" s="455">
        <f t="shared" si="0"/>
        <v>97.429951348433804</v>
      </c>
    </row>
    <row r="70" spans="1:8" ht="26.25" customHeight="1" x14ac:dyDescent="0.4">
      <c r="A70" s="510" t="s">
        <v>78</v>
      </c>
      <c r="B70" s="511"/>
      <c r="C70" s="505"/>
      <c r="D70" s="508"/>
      <c r="E70" s="372">
        <v>3</v>
      </c>
      <c r="F70" s="325">
        <v>312844623</v>
      </c>
      <c r="G70" s="437">
        <f>IF(ISBLANK(F70),"-",(F70/$D$50*$D$47*$B$68)*($B$57/$D$68))</f>
        <v>119.44332955182392</v>
      </c>
      <c r="H70" s="455">
        <f t="shared" si="0"/>
        <v>99.536107959853268</v>
      </c>
    </row>
    <row r="71" spans="1:8" ht="27" customHeight="1" x14ac:dyDescent="0.4">
      <c r="A71" s="512"/>
      <c r="B71" s="513"/>
      <c r="C71" s="506"/>
      <c r="D71" s="509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117.13656660760883</v>
      </c>
      <c r="H72" s="457">
        <f>AVERAGE(H60:H71)</f>
        <v>97.613805506340697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1.9263701752930986E-2</v>
      </c>
      <c r="H73" s="441">
        <f>STDEV(H60:H71)/H72</f>
        <v>1.9263701752930976E-2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96" t="s">
        <v>106</v>
      </c>
      <c r="B76" s="385" t="s">
        <v>107</v>
      </c>
      <c r="C76" s="491" t="str">
        <f>B26</f>
        <v xml:space="preserve"> Lumefantrine</v>
      </c>
      <c r="D76" s="491"/>
      <c r="E76" s="386" t="s">
        <v>108</v>
      </c>
      <c r="F76" s="386"/>
      <c r="G76" s="473">
        <f>H72</f>
        <v>97.613805506340697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25" t="str">
        <f>B26</f>
        <v xml:space="preserve"> Lumefantrine</v>
      </c>
      <c r="C79" s="525"/>
    </row>
    <row r="80" spans="1:8" ht="26.25" customHeight="1" x14ac:dyDescent="0.4">
      <c r="A80" s="297" t="s">
        <v>48</v>
      </c>
      <c r="B80" s="525" t="str">
        <f>B27</f>
        <v>L1-0</v>
      </c>
      <c r="C80" s="525"/>
    </row>
    <row r="81" spans="1:12" ht="27" customHeight="1" x14ac:dyDescent="0.4">
      <c r="A81" s="297" t="s">
        <v>6</v>
      </c>
      <c r="B81" s="389">
        <f>B28</f>
        <v>99.1</v>
      </c>
    </row>
    <row r="82" spans="1:12" s="14" customFormat="1" ht="27" customHeight="1" x14ac:dyDescent="0.4">
      <c r="A82" s="297" t="s">
        <v>49</v>
      </c>
      <c r="B82" s="299">
        <v>0</v>
      </c>
      <c r="C82" s="493" t="s">
        <v>50</v>
      </c>
      <c r="D82" s="494"/>
      <c r="E82" s="494"/>
      <c r="F82" s="494"/>
      <c r="G82" s="495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99.1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496" t="s">
        <v>111</v>
      </c>
      <c r="D84" s="497"/>
      <c r="E84" s="497"/>
      <c r="F84" s="497"/>
      <c r="G84" s="497"/>
      <c r="H84" s="498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496" t="s">
        <v>112</v>
      </c>
      <c r="D85" s="497"/>
      <c r="E85" s="497"/>
      <c r="F85" s="497"/>
      <c r="G85" s="497"/>
      <c r="H85" s="498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1</v>
      </c>
      <c r="D89" s="390" t="s">
        <v>59</v>
      </c>
      <c r="E89" s="391"/>
      <c r="F89" s="499" t="s">
        <v>60</v>
      </c>
      <c r="G89" s="500"/>
    </row>
    <row r="90" spans="1:12" ht="27" customHeight="1" x14ac:dyDescent="0.4">
      <c r="A90" s="312" t="s">
        <v>61</v>
      </c>
      <c r="B90" s="313">
        <v>1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/>
      <c r="E91" s="321" t="str">
        <f>IF(ISBLANK(D91),"-",$D$101/$D$98*D91)</f>
        <v>-</v>
      </c>
      <c r="F91" s="320"/>
      <c r="G91" s="322" t="str">
        <f>IF(ISBLANK(F91),"-",$D$101/$F$98*F91)</f>
        <v>-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/>
      <c r="E92" s="326" t="str">
        <f>IF(ISBLANK(D92),"-",$D$101/$D$98*D92)</f>
        <v>-</v>
      </c>
      <c r="F92" s="325"/>
      <c r="G92" s="327" t="str">
        <f>IF(ISBLANK(F92),"-",$D$101/$F$98*F92)</f>
        <v>-</v>
      </c>
      <c r="I92" s="501" t="e">
        <f>ABS((F96/D96*D95)-F95)/D95</f>
        <v>#DIV/0!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/>
      <c r="E93" s="326" t="str">
        <f>IF(ISBLANK(D93),"-",$D$101/$D$98*D93)</f>
        <v>-</v>
      </c>
      <c r="F93" s="325"/>
      <c r="G93" s="327" t="str">
        <f>IF(ISBLANK(F93),"-",$D$101/$F$98*F93)</f>
        <v>-</v>
      </c>
      <c r="I93" s="501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 t="e">
        <f>AVERAGE(D91:D94)</f>
        <v>#DIV/0!</v>
      </c>
      <c r="E95" s="336" t="e">
        <f>AVERAGE(E91:E94)</f>
        <v>#DIV/0!</v>
      </c>
      <c r="F95" s="399" t="e">
        <f>AVERAGE(F91:F94)</f>
        <v>#DIV/0!</v>
      </c>
      <c r="G95" s="400" t="e">
        <f>AVERAGE(G91:G94)</f>
        <v>#DIV/0!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/>
      <c r="E96" s="328"/>
      <c r="F96" s="340"/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0</v>
      </c>
      <c r="E97" s="343"/>
      <c r="F97" s="342">
        <f>F96*$B$87</f>
        <v>0</v>
      </c>
    </row>
    <row r="98" spans="1:10" ht="19.5" customHeight="1" x14ac:dyDescent="0.3">
      <c r="A98" s="312" t="s">
        <v>76</v>
      </c>
      <c r="B98" s="405">
        <f>(B97/B96)*(B95/B94)*(B93/B92)*(B91/B90)*B89</f>
        <v>1</v>
      </c>
      <c r="C98" s="403" t="s">
        <v>115</v>
      </c>
      <c r="D98" s="406">
        <f>D97*$B$83/100</f>
        <v>0</v>
      </c>
      <c r="E98" s="346"/>
      <c r="F98" s="345">
        <f>F97*$B$83/100</f>
        <v>0</v>
      </c>
    </row>
    <row r="99" spans="1:10" ht="19.5" customHeight="1" x14ac:dyDescent="0.3">
      <c r="A99" s="487" t="s">
        <v>78</v>
      </c>
      <c r="B99" s="502"/>
      <c r="C99" s="403" t="s">
        <v>116</v>
      </c>
      <c r="D99" s="407">
        <f>D98/$B$98</f>
        <v>0</v>
      </c>
      <c r="E99" s="346"/>
      <c r="F99" s="349">
        <f>F98/$B$98</f>
        <v>0</v>
      </c>
      <c r="G99" s="408"/>
      <c r="H99" s="338"/>
    </row>
    <row r="100" spans="1:10" ht="19.5" customHeight="1" x14ac:dyDescent="0.3">
      <c r="A100" s="489"/>
      <c r="B100" s="503"/>
      <c r="C100" s="403" t="s">
        <v>80</v>
      </c>
      <c r="D100" s="409">
        <f>$B$56/$B$116</f>
        <v>120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120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120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 t="e">
        <f>AVERAGE(E91:E94,G91:G94)</f>
        <v>#DIV/0!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 t="e">
        <f>STDEV(E91:E94,G91:G94)/D103</f>
        <v>#DIV/0!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0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1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/>
      <c r="E108" s="438" t="str">
        <f t="shared" ref="E108:E113" si="1">IF(ISBLANK(D108),"-",D108/$D$103*$D$100*$B$116)</f>
        <v>-</v>
      </c>
      <c r="F108" s="465" t="str">
        <f t="shared" ref="F108:F113" si="2">IF(ISBLANK(D108), "-", (E108/$B$56)*100)</f>
        <v>-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/>
      <c r="E109" s="439" t="str">
        <f t="shared" si="1"/>
        <v>-</v>
      </c>
      <c r="F109" s="466" t="str">
        <f t="shared" si="2"/>
        <v>-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/>
      <c r="E110" s="439" t="str">
        <f t="shared" si="1"/>
        <v>-</v>
      </c>
      <c r="F110" s="466" t="str">
        <f t="shared" si="2"/>
        <v>-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/>
      <c r="E111" s="439" t="str">
        <f t="shared" si="1"/>
        <v>-</v>
      </c>
      <c r="F111" s="466" t="str">
        <f t="shared" si="2"/>
        <v>-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/>
      <c r="E112" s="439" t="str">
        <f t="shared" si="1"/>
        <v>-</v>
      </c>
      <c r="F112" s="466" t="str">
        <f t="shared" si="2"/>
        <v>-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/>
      <c r="E113" s="440" t="str">
        <f t="shared" si="1"/>
        <v>-</v>
      </c>
      <c r="F113" s="467" t="str">
        <f t="shared" si="2"/>
        <v>-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 t="e">
        <f>AVERAGE(E108:E113)</f>
        <v>#DIV/0!</v>
      </c>
      <c r="F115" s="469" t="e">
        <f>AVERAGE(F108:F113)</f>
        <v>#DIV/0!</v>
      </c>
    </row>
    <row r="116" spans="1:10" ht="27" customHeight="1" x14ac:dyDescent="0.4">
      <c r="A116" s="312" t="s">
        <v>103</v>
      </c>
      <c r="B116" s="344">
        <f>(B115/B114)*(B113/B112)*(B111/B110)*(B109/B108)*B107</f>
        <v>1</v>
      </c>
      <c r="C116" s="422"/>
      <c r="D116" s="446" t="s">
        <v>84</v>
      </c>
      <c r="E116" s="444" t="e">
        <f>STDEV(E108:E113)/E115</f>
        <v>#DIV/0!</v>
      </c>
      <c r="F116" s="423" t="e">
        <f>STDEV(F108:F113)/F115</f>
        <v>#DIV/0!</v>
      </c>
      <c r="I116" s="286"/>
    </row>
    <row r="117" spans="1:10" ht="27" customHeight="1" x14ac:dyDescent="0.4">
      <c r="A117" s="487" t="s">
        <v>78</v>
      </c>
      <c r="B117" s="488"/>
      <c r="C117" s="424"/>
      <c r="D117" s="383" t="s">
        <v>20</v>
      </c>
      <c r="E117" s="449">
        <f>COUNT(E108:E113)</f>
        <v>0</v>
      </c>
      <c r="F117" s="450">
        <f>COUNT(F108:F113)</f>
        <v>0</v>
      </c>
      <c r="I117" s="286"/>
      <c r="J117" s="417"/>
    </row>
    <row r="118" spans="1:10" ht="26.25" customHeight="1" x14ac:dyDescent="0.3">
      <c r="A118" s="489"/>
      <c r="B118" s="490"/>
      <c r="C118" s="286"/>
      <c r="D118" s="448"/>
      <c r="E118" s="515" t="s">
        <v>123</v>
      </c>
      <c r="F118" s="516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0</v>
      </c>
      <c r="F119" s="470">
        <f>MIN(F108:F113)</f>
        <v>0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0</v>
      </c>
      <c r="F120" s="471">
        <f>MAX(F108:F113)</f>
        <v>0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491" t="str">
        <f>B26</f>
        <v xml:space="preserve"> Lumefantrine</v>
      </c>
      <c r="D124" s="491"/>
      <c r="E124" s="386" t="s">
        <v>127</v>
      </c>
      <c r="F124" s="386"/>
      <c r="G124" s="472" t="e">
        <f>F115</f>
        <v>#DIV/0!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0</v>
      </c>
      <c r="E125" s="397" t="s">
        <v>130</v>
      </c>
      <c r="F125" s="472">
        <f>MAX(F108:F113)</f>
        <v>0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492" t="s">
        <v>26</v>
      </c>
      <c r="C127" s="492"/>
      <c r="E127" s="392" t="s">
        <v>27</v>
      </c>
      <c r="F127" s="427"/>
      <c r="G127" s="492" t="s">
        <v>28</v>
      </c>
      <c r="H127" s="492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Artemether</vt:lpstr>
      <vt:lpstr>SST Lumefantrine</vt:lpstr>
      <vt:lpstr>Uniformity</vt:lpstr>
      <vt:lpstr>Artemether</vt:lpstr>
      <vt:lpstr>Lumefantrine</vt:lpstr>
      <vt:lpstr>Artemether!Print_Area</vt:lpstr>
      <vt:lpstr>Lumefantrine!Print_Area</vt:lpstr>
      <vt:lpstr>'SST Artemether'!Print_Area</vt:lpstr>
      <vt:lpstr>'SST Lumefantrine'!Print_Area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2018-03-16T11:10:11Z</cp:lastPrinted>
  <dcterms:created xsi:type="dcterms:W3CDTF">2005-07-05T10:19:27Z</dcterms:created>
  <dcterms:modified xsi:type="dcterms:W3CDTF">2018-03-16T11:14:07Z</dcterms:modified>
</cp:coreProperties>
</file>