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 Artemether" sheetId="6" r:id="rId1"/>
    <sheet name="SST Lumefantrine" sheetId="5" r:id="rId2"/>
    <sheet name="Uniformity" sheetId="2" r:id="rId3"/>
    <sheet name="Artemether" sheetId="3" r:id="rId4"/>
    <sheet name="Lumefantrine" sheetId="4" r:id="rId5"/>
  </sheets>
  <definedNames>
    <definedName name="_xlnm.Print_Area" localSheetId="3">Artemether!$A$1:$I$129</definedName>
    <definedName name="_xlnm.Print_Area" localSheetId="4">Lumefantrine!$A$1:$I$129</definedName>
    <definedName name="_xlnm.Print_Area" localSheetId="2">Uniformity!$A$12:$H$54</definedName>
  </definedNames>
  <calcPr calcId="144525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124" i="4" l="1"/>
  <c r="B116" i="4"/>
  <c r="D100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G38" i="4"/>
  <c r="B34" i="4"/>
  <c r="F44" i="4" s="1"/>
  <c r="B30" i="4"/>
  <c r="C124" i="3"/>
  <c r="B116" i="3"/>
  <c r="D100" i="3" s="1"/>
  <c r="B98" i="3"/>
  <c r="F95" i="3"/>
  <c r="D95" i="3"/>
  <c r="I92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B57" i="4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F45" i="4" l="1"/>
  <c r="F98" i="4"/>
  <c r="D49" i="4"/>
  <c r="D44" i="4"/>
  <c r="D45" i="4" s="1"/>
  <c r="D46" i="4" s="1"/>
  <c r="F46" i="4"/>
  <c r="D101" i="4"/>
  <c r="G94" i="4" s="1"/>
  <c r="D97" i="4"/>
  <c r="D98" i="4" s="1"/>
  <c r="D99" i="4" s="1"/>
  <c r="I39" i="4"/>
  <c r="D101" i="3"/>
  <c r="B69" i="3"/>
  <c r="I39" i="3"/>
  <c r="D45" i="3"/>
  <c r="D46" i="3" s="1"/>
  <c r="D49" i="3"/>
  <c r="F99" i="4"/>
  <c r="G91" i="4"/>
  <c r="F98" i="3"/>
  <c r="F99" i="3" s="1"/>
  <c r="D102" i="3"/>
  <c r="G93" i="3"/>
  <c r="E94" i="3"/>
  <c r="E40" i="4"/>
  <c r="E38" i="4"/>
  <c r="E41" i="4"/>
  <c r="B69" i="4"/>
  <c r="F44" i="3"/>
  <c r="F45" i="3" s="1"/>
  <c r="F46" i="3" s="1"/>
  <c r="G41" i="4"/>
  <c r="C50" i="2"/>
  <c r="D97" i="3"/>
  <c r="D98" i="3" s="1"/>
  <c r="D99" i="3" s="1"/>
  <c r="E39" i="4"/>
  <c r="G40" i="4"/>
  <c r="G92" i="4"/>
  <c r="D26" i="2"/>
  <c r="D30" i="2"/>
  <c r="D34" i="2"/>
  <c r="D38" i="2"/>
  <c r="D42" i="2"/>
  <c r="B49" i="2"/>
  <c r="D50" i="2"/>
  <c r="G39" i="4"/>
  <c r="G42" i="4" l="1"/>
  <c r="G93" i="4"/>
  <c r="G95" i="4" s="1"/>
  <c r="D102" i="4"/>
  <c r="E91" i="4"/>
  <c r="E92" i="4"/>
  <c r="E94" i="4"/>
  <c r="E93" i="4"/>
  <c r="E38" i="3"/>
  <c r="G94" i="3"/>
  <c r="E41" i="3"/>
  <c r="G91" i="3"/>
  <c r="E39" i="3"/>
  <c r="E40" i="3"/>
  <c r="G41" i="3"/>
  <c r="G92" i="3"/>
  <c r="E93" i="3"/>
  <c r="G39" i="3"/>
  <c r="D50" i="4"/>
  <c r="E42" i="4"/>
  <c r="D52" i="4"/>
  <c r="E91" i="3"/>
  <c r="E92" i="3"/>
  <c r="G40" i="3"/>
  <c r="G38" i="3"/>
  <c r="E42" i="3" l="1"/>
  <c r="E95" i="4"/>
  <c r="D103" i="4"/>
  <c r="E111" i="4" s="1"/>
  <c r="F111" i="4" s="1"/>
  <c r="D105" i="4"/>
  <c r="D50" i="3"/>
  <c r="G69" i="3" s="1"/>
  <c r="H69" i="3" s="1"/>
  <c r="G95" i="3"/>
  <c r="G42" i="3"/>
  <c r="E113" i="4"/>
  <c r="F113" i="4" s="1"/>
  <c r="D52" i="3"/>
  <c r="E95" i="3"/>
  <c r="D105" i="3"/>
  <c r="D103" i="3"/>
  <c r="D51" i="4"/>
  <c r="G68" i="4"/>
  <c r="H68" i="4" s="1"/>
  <c r="G70" i="4"/>
  <c r="H70" i="4" s="1"/>
  <c r="G67" i="4"/>
  <c r="H67" i="4" s="1"/>
  <c r="G65" i="4"/>
  <c r="H65" i="4" s="1"/>
  <c r="G63" i="4"/>
  <c r="H63" i="4" s="1"/>
  <c r="G61" i="4"/>
  <c r="H61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E112" i="4" l="1"/>
  <c r="F112" i="4" s="1"/>
  <c r="D104" i="4"/>
  <c r="E110" i="4"/>
  <c r="F110" i="4" s="1"/>
  <c r="E109" i="4"/>
  <c r="F109" i="4" s="1"/>
  <c r="E108" i="4"/>
  <c r="G62" i="3"/>
  <c r="H62" i="3" s="1"/>
  <c r="G67" i="3"/>
  <c r="H67" i="3" s="1"/>
  <c r="G64" i="3"/>
  <c r="H64" i="3" s="1"/>
  <c r="D51" i="3"/>
  <c r="G65" i="3"/>
  <c r="H65" i="3" s="1"/>
  <c r="G71" i="3"/>
  <c r="H71" i="3" s="1"/>
  <c r="G61" i="3"/>
  <c r="H61" i="3" s="1"/>
  <c r="G70" i="3"/>
  <c r="H70" i="3" s="1"/>
  <c r="G66" i="3"/>
  <c r="H66" i="3" s="1"/>
  <c r="G68" i="3"/>
  <c r="H68" i="3" s="1"/>
  <c r="G63" i="3"/>
  <c r="H63" i="3" s="1"/>
  <c r="G60" i="3"/>
  <c r="H60" i="3" s="1"/>
  <c r="H60" i="4"/>
  <c r="G74" i="4"/>
  <c r="G72" i="4"/>
  <c r="G73" i="4" s="1"/>
  <c r="E112" i="3"/>
  <c r="F112" i="3" s="1"/>
  <c r="E110" i="3"/>
  <c r="F110" i="3" s="1"/>
  <c r="E108" i="3"/>
  <c r="D104" i="3"/>
  <c r="E113" i="3"/>
  <c r="F113" i="3" s="1"/>
  <c r="E111" i="3"/>
  <c r="F111" i="3" s="1"/>
  <c r="E109" i="3"/>
  <c r="F109" i="3" s="1"/>
  <c r="E119" i="4" l="1"/>
  <c r="E115" i="4"/>
  <c r="E116" i="4" s="1"/>
  <c r="F108" i="4"/>
  <c r="F120" i="4" s="1"/>
  <c r="E120" i="4"/>
  <c r="E117" i="4"/>
  <c r="G74" i="3"/>
  <c r="G72" i="3"/>
  <c r="G73" i="3" s="1"/>
  <c r="H72" i="3"/>
  <c r="H74" i="3"/>
  <c r="E115" i="3"/>
  <c r="E116" i="3" s="1"/>
  <c r="E119" i="3"/>
  <c r="E120" i="3"/>
  <c r="E117" i="3"/>
  <c r="F108" i="3"/>
  <c r="H74" i="4"/>
  <c r="H72" i="4"/>
  <c r="F115" i="4" l="1"/>
  <c r="G124" i="4" s="1"/>
  <c r="D125" i="4"/>
  <c r="F125" i="4"/>
  <c r="F117" i="4"/>
  <c r="F119" i="4"/>
  <c r="F119" i="3"/>
  <c r="F125" i="3"/>
  <c r="F120" i="3"/>
  <c r="F117" i="3"/>
  <c r="D125" i="3"/>
  <c r="F115" i="3"/>
  <c r="G76" i="4"/>
  <c r="H73" i="4"/>
  <c r="G76" i="3"/>
  <c r="H73" i="3"/>
  <c r="F116" i="4" l="1"/>
  <c r="G124" i="3"/>
  <c r="F116" i="3"/>
</calcChain>
</file>

<file path=xl/sharedStrings.xml><?xml version="1.0" encoding="utf-8"?>
<sst xmlns="http://schemas.openxmlformats.org/spreadsheetml/2006/main" count="450" uniqueCount="138">
  <si>
    <t>HPLC System Suitability Report</t>
  </si>
  <si>
    <t>Analysis Data</t>
  </si>
  <si>
    <t>Assay</t>
  </si>
  <si>
    <t>Sample(s)</t>
  </si>
  <si>
    <t>Reference Substance:</t>
  </si>
  <si>
    <t>COARTEM®  DISPERSIBLE 20 mg/ 120 mg TABLETS</t>
  </si>
  <si>
    <t>% age Purity:</t>
  </si>
  <si>
    <t>NDQB201709189</t>
  </si>
  <si>
    <t>Weight (mg):</t>
  </si>
  <si>
    <t>Artemether &amp; Lumefantrine</t>
  </si>
  <si>
    <t>Standard Conc (mg/mL):</t>
  </si>
  <si>
    <t>Each Coartem Dispersible tablet contains Artemether 20 mg and Lumefantrine 120 mg.</t>
  </si>
  <si>
    <t>2017-09-27 09:56:48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</si>
  <si>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</si>
  <si>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</si>
  <si>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</si>
  <si>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</si>
  <si>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</si>
  <si>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</si>
  <si>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</si>
  <si>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</si>
  <si>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</si>
  <si>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</si>
  <si>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</si>
  <si>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</si>
  <si>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</si>
  <si>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</si>
  <si>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</si>
  <si>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</si>
  <si>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</si>
  <si>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</si>
  <si>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</si>
  <si>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</si>
  <si>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</si>
  <si>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</si>
  <si>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</si>
  <si>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</si>
  <si>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</si>
  <si>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</si>
  <si>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</si>
  <si>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</si>
  <si>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</si>
  <si>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</si>
  <si>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</si>
  <si>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</si>
  <si>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</si>
  <si>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</si>
  <si>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</si>
  <si>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</si>
  <si>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</si>
  <si>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</si>
  <si>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</si>
  <si>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</si>
  <si>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</si>
  <si>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</si>
  <si>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</si>
  <si>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</si>
  <si>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</si>
  <si>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</si>
  <si>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</si>
  <si>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</si>
  <si>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</si>
  <si>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</si>
  <si>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</si>
  <si>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</si>
  <si>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</si>
  <si>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</si>
  <si>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</si>
  <si>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</si>
  <si>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</si>
  <si>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</si>
  <si>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</si>
  <si>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</si>
  <si>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</si>
  <si>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</si>
  <si>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</si>
  <si>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</si>
  <si>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</si>
  <si>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</si>
  <si>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</si>
  <si>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</si>
  <si>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</si>
  <si>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</si>
  <si>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</si>
  <si>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</si>
  <si>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</si>
  <si>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</si>
  <si>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</si>
  <si>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</si>
  <si>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</si>
  <si>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</si>
  <si>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</si>
  <si>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</si>
  <si>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</si>
  <si>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</si>
  <si>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</si>
  <si>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</si>
  <si>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</si>
  <si>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</si>
  <si>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</si>
  <si>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</si>
  <si>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</si>
  <si>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</si>
  <si>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</si>
  <si>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</si>
  <si>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</si>
  <si>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</si>
  <si>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</si>
  <si>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</si>
  <si>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</si>
  <si>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</si>
  <si>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</si>
  <si>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</si>
  <si>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</si>
  <si>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</si>
  <si>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</si>
  <si>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</si>
  <si>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</si>
  <si>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</si>
  <si>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</si>
  <si>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</si>
  <si>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</si>
  <si>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</si>
  <si>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</si>
  <si>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</si>
  <si>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</si>
  <si>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</si>
  <si>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</si>
  <si>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</si>
  <si>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</si>
  <si>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</si>
  <si>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Artemether</t>
  </si>
  <si>
    <t>A5-10</t>
  </si>
  <si>
    <t>Lumefantrine</t>
  </si>
  <si>
    <t>L1-0</t>
  </si>
  <si>
    <r>
      <t xml:space="preserve">The Assymetry of all peaks were </t>
    </r>
    <r>
      <rPr>
        <b/>
        <sz val="12"/>
        <color rgb="FF000000"/>
        <rFont val="Book Antiqua"/>
        <family val="1"/>
      </rPr>
      <t>NLT 0.8</t>
    </r>
    <r>
      <rPr>
        <sz val="12"/>
        <color rgb="FF000000"/>
        <rFont val="Book Antiqua"/>
        <family val="1"/>
      </rPr>
      <t xml:space="preserve"> and </t>
    </r>
    <r>
      <rPr>
        <b/>
        <sz val="12"/>
        <color rgb="FF000000"/>
        <rFont val="Book Antiqua"/>
        <family val="1"/>
      </rPr>
      <t>NMT 4.5</t>
    </r>
  </si>
  <si>
    <t>RUTTO KENNEDY</t>
  </si>
  <si>
    <t xml:space="preserve">Artemether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</si>
</sst>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5" fillId="2" borderId="0"/>
    <xf numFmtId="0" fontId="26" fillId="2" borderId="0"/>
    <xf numFmtId="0" fontId="25" fillId="2" borderId="0"/>
  </cellStyleXfs>
  <cellXfs count="56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6" fillId="2" borderId="0" xfId="2" applyFont="1" applyFill="1" applyAlignment="1" applyProtection="1">
      <alignment horizontal="left"/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3" fillId="2" borderId="0" xfId="3" applyFont="1" applyFill="1" applyAlignment="1">
      <alignment horizontal="center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70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5" fillId="2" borderId="0" xfId="3" applyFill="1"/>
    <xf numFmtId="0" fontId="1" fillId="2" borderId="10" xfId="3" applyFont="1" applyFill="1" applyBorder="1" applyAlignment="1">
      <alignment horizontal="center"/>
    </xf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</cellXfs>
  <cellStyles count="4">
    <cellStyle name="Normal" xfId="0" builtinId="0"/>
    <cellStyle name="Normal 2" xfId="3"/>
    <cellStyle name="Normal 2 2" xfId="2"/>
    <cellStyle name="Normal 3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61" sqref="B61"/>
    </sheetView>
  </sheetViews>
  <sheetFormatPr defaultRowHeight="13.5" x14ac:dyDescent="0.25"/>
  <cols>
    <col min="1" max="1" width="27.5703125" style="523" customWidth="1"/>
    <col min="2" max="2" width="20.42578125" style="523" customWidth="1"/>
    <col min="3" max="3" width="31.85546875" style="523" customWidth="1"/>
    <col min="4" max="4" width="25.85546875" style="523" customWidth="1"/>
    <col min="5" max="5" width="25.7109375" style="523" customWidth="1"/>
    <col min="6" max="6" width="23.140625" style="523" customWidth="1"/>
    <col min="7" max="7" width="28.42578125" style="523" customWidth="1"/>
    <col min="8" max="8" width="21.5703125" style="523" customWidth="1"/>
    <col min="9" max="9" width="9.140625" style="523" customWidth="1"/>
    <col min="10" max="16384" width="9.140625" style="561"/>
  </cols>
  <sheetData>
    <row r="14" spans="1:6" ht="15" customHeight="1" x14ac:dyDescent="0.3">
      <c r="A14" s="522"/>
      <c r="C14" s="524"/>
      <c r="F14" s="524"/>
    </row>
    <row r="15" spans="1:6" ht="18.75" customHeight="1" x14ac:dyDescent="0.3">
      <c r="A15" s="525" t="s">
        <v>0</v>
      </c>
      <c r="B15" s="525"/>
      <c r="C15" s="525"/>
      <c r="D15" s="525"/>
      <c r="E15" s="525"/>
    </row>
    <row r="16" spans="1:6" ht="16.5" customHeight="1" x14ac:dyDescent="0.3">
      <c r="A16" s="526" t="s">
        <v>1</v>
      </c>
      <c r="B16" s="527" t="s">
        <v>2</v>
      </c>
    </row>
    <row r="17" spans="1:5" ht="16.5" customHeight="1" x14ac:dyDescent="0.3">
      <c r="A17" s="528" t="s">
        <v>3</v>
      </c>
      <c r="B17" s="528" t="s">
        <v>5</v>
      </c>
      <c r="D17" s="529"/>
      <c r="E17" s="530"/>
    </row>
    <row r="18" spans="1:5" ht="16.5" customHeight="1" x14ac:dyDescent="0.3">
      <c r="A18" s="531" t="s">
        <v>4</v>
      </c>
      <c r="B18" s="532" t="s">
        <v>137</v>
      </c>
      <c r="C18" s="530"/>
      <c r="D18" s="530"/>
      <c r="E18" s="530"/>
    </row>
    <row r="19" spans="1:5" ht="16.5" customHeight="1" x14ac:dyDescent="0.3">
      <c r="A19" s="531" t="s">
        <v>6</v>
      </c>
      <c r="B19" s="533">
        <v>98.932000000000002</v>
      </c>
      <c r="C19" s="530"/>
      <c r="D19" s="530"/>
      <c r="E19" s="530"/>
    </row>
    <row r="20" spans="1:5" ht="16.5" customHeight="1" x14ac:dyDescent="0.3">
      <c r="A20" s="528" t="s">
        <v>8</v>
      </c>
      <c r="B20" s="532">
        <v>10.59</v>
      </c>
      <c r="C20" s="530"/>
      <c r="D20" s="530"/>
      <c r="E20" s="530"/>
    </row>
    <row r="21" spans="1:5" ht="16.5" customHeight="1" x14ac:dyDescent="0.3">
      <c r="A21" s="528" t="s">
        <v>10</v>
      </c>
      <c r="B21" s="534">
        <f>10.59/25*10/20</f>
        <v>0.21179999999999999</v>
      </c>
      <c r="C21" s="530"/>
      <c r="D21" s="530"/>
      <c r="E21" s="530"/>
    </row>
    <row r="22" spans="1:5" ht="15.75" customHeight="1" x14ac:dyDescent="0.25">
      <c r="A22" s="530"/>
      <c r="B22" s="530"/>
      <c r="C22" s="530"/>
      <c r="D22" s="530"/>
      <c r="E22" s="530"/>
    </row>
    <row r="23" spans="1:5" ht="16.5" customHeight="1" x14ac:dyDescent="0.3">
      <c r="A23" s="535" t="s">
        <v>13</v>
      </c>
      <c r="B23" s="536" t="s">
        <v>14</v>
      </c>
      <c r="C23" s="535" t="s">
        <v>15</v>
      </c>
      <c r="D23" s="535" t="s">
        <v>16</v>
      </c>
      <c r="E23" s="535" t="s">
        <v>17</v>
      </c>
    </row>
    <row r="24" spans="1:5" ht="16.5" customHeight="1" x14ac:dyDescent="0.3">
      <c r="A24" s="537">
        <v>1</v>
      </c>
      <c r="B24" s="538">
        <v>673601</v>
      </c>
      <c r="C24" s="538">
        <v>5418.22</v>
      </c>
      <c r="D24" s="539">
        <v>0.94</v>
      </c>
      <c r="E24" s="540">
        <v>3.68</v>
      </c>
    </row>
    <row r="25" spans="1:5" ht="16.5" customHeight="1" x14ac:dyDescent="0.3">
      <c r="A25" s="537">
        <v>2</v>
      </c>
      <c r="B25" s="538">
        <v>674359</v>
      </c>
      <c r="C25" s="538">
        <v>5382.03</v>
      </c>
      <c r="D25" s="539">
        <v>0.94</v>
      </c>
      <c r="E25" s="539">
        <v>3.68</v>
      </c>
    </row>
    <row r="26" spans="1:5" ht="16.5" customHeight="1" x14ac:dyDescent="0.3">
      <c r="A26" s="537">
        <v>3</v>
      </c>
      <c r="B26" s="538">
        <v>673427</v>
      </c>
      <c r="C26" s="538">
        <v>5372.79</v>
      </c>
      <c r="D26" s="539">
        <v>0.94</v>
      </c>
      <c r="E26" s="539">
        <v>3.69</v>
      </c>
    </row>
    <row r="27" spans="1:5" ht="16.5" customHeight="1" x14ac:dyDescent="0.3">
      <c r="A27" s="537">
        <v>4</v>
      </c>
      <c r="B27" s="538">
        <v>676827</v>
      </c>
      <c r="C27" s="538">
        <v>5354.73</v>
      </c>
      <c r="D27" s="539">
        <v>0.93</v>
      </c>
      <c r="E27" s="539">
        <v>3.69</v>
      </c>
    </row>
    <row r="28" spans="1:5" ht="16.5" customHeight="1" x14ac:dyDescent="0.3">
      <c r="A28" s="537">
        <v>5</v>
      </c>
      <c r="B28" s="538">
        <v>674599</v>
      </c>
      <c r="C28" s="538">
        <v>5380.41</v>
      </c>
      <c r="D28" s="539">
        <v>0.93</v>
      </c>
      <c r="E28" s="539">
        <v>3.69</v>
      </c>
    </row>
    <row r="29" spans="1:5" ht="16.5" customHeight="1" x14ac:dyDescent="0.3">
      <c r="A29" s="537">
        <v>6</v>
      </c>
      <c r="B29" s="541">
        <v>674511</v>
      </c>
      <c r="C29" s="541">
        <v>5357.79</v>
      </c>
      <c r="D29" s="542">
        <v>0.93</v>
      </c>
      <c r="E29" s="542">
        <v>3.69</v>
      </c>
    </row>
    <row r="30" spans="1:5" ht="16.5" customHeight="1" x14ac:dyDescent="0.3">
      <c r="A30" s="543" t="s">
        <v>18</v>
      </c>
      <c r="B30" s="544">
        <f>AVERAGE(B24:B29)</f>
        <v>674554</v>
      </c>
      <c r="C30" s="545">
        <f>AVERAGE(C24:C29)</f>
        <v>5377.6616666666669</v>
      </c>
      <c r="D30" s="546">
        <f>AVERAGE(D24:D29)</f>
        <v>0.93499999999999994</v>
      </c>
      <c r="E30" s="546">
        <f>AVERAGE(E24:E29)</f>
        <v>3.686666666666667</v>
      </c>
    </row>
    <row r="31" spans="1:5" ht="16.5" customHeight="1" x14ac:dyDescent="0.3">
      <c r="A31" s="547" t="s">
        <v>19</v>
      </c>
      <c r="B31" s="548">
        <f>(STDEV(B24:B29)/B30)</f>
        <v>1.801878264991676E-3</v>
      </c>
      <c r="C31" s="549"/>
      <c r="D31" s="549"/>
      <c r="E31" s="550"/>
    </row>
    <row r="32" spans="1:5" s="523" customFormat="1" ht="16.5" customHeight="1" x14ac:dyDescent="0.3">
      <c r="A32" s="551" t="s">
        <v>20</v>
      </c>
      <c r="B32" s="552">
        <f>COUNT(B24:B29)</f>
        <v>6</v>
      </c>
      <c r="C32" s="553"/>
      <c r="D32" s="554"/>
      <c r="E32" s="555"/>
    </row>
    <row r="33" spans="1:5" s="523" customFormat="1" ht="15.75" customHeight="1" x14ac:dyDescent="0.25">
      <c r="A33" s="530"/>
      <c r="B33" s="530"/>
      <c r="C33" s="530"/>
      <c r="D33" s="530"/>
      <c r="E33" s="530"/>
    </row>
    <row r="34" spans="1:5" s="523" customFormat="1" ht="16.5" customHeight="1" x14ac:dyDescent="0.3">
      <c r="A34" s="531" t="s">
        <v>21</v>
      </c>
      <c r="B34" s="556" t="s">
        <v>22</v>
      </c>
      <c r="C34" s="557"/>
      <c r="D34" s="557"/>
      <c r="E34" s="557"/>
    </row>
    <row r="35" spans="1:5" ht="16.5" customHeight="1" x14ac:dyDescent="0.3">
      <c r="A35" s="531"/>
      <c r="B35" s="556" t="s">
        <v>23</v>
      </c>
      <c r="C35" s="557"/>
      <c r="D35" s="557"/>
      <c r="E35" s="557"/>
    </row>
    <row r="36" spans="1:5" ht="16.5" customHeight="1" x14ac:dyDescent="0.3">
      <c r="A36" s="531"/>
      <c r="B36" s="510" t="s">
        <v>135</v>
      </c>
      <c r="C36" s="557"/>
      <c r="D36" s="557"/>
      <c r="E36" s="557"/>
    </row>
    <row r="37" spans="1:5" ht="15.75" customHeight="1" x14ac:dyDescent="0.25">
      <c r="A37" s="530"/>
      <c r="B37" s="530"/>
      <c r="C37" s="530"/>
      <c r="D37" s="530"/>
      <c r="E37" s="530"/>
    </row>
    <row r="38" spans="1:5" ht="16.5" customHeight="1" x14ac:dyDescent="0.3">
      <c r="A38" s="526" t="s">
        <v>1</v>
      </c>
      <c r="B38" s="527" t="s">
        <v>25</v>
      </c>
    </row>
    <row r="39" spans="1:5" ht="16.5" customHeight="1" x14ac:dyDescent="0.3">
      <c r="A39" s="531" t="s">
        <v>4</v>
      </c>
      <c r="B39" s="528"/>
      <c r="C39" s="530"/>
      <c r="D39" s="530"/>
      <c r="E39" s="530"/>
    </row>
    <row r="40" spans="1:5" ht="16.5" customHeight="1" x14ac:dyDescent="0.3">
      <c r="A40" s="531" t="s">
        <v>6</v>
      </c>
      <c r="B40" s="532"/>
      <c r="C40" s="530"/>
      <c r="D40" s="530"/>
      <c r="E40" s="530"/>
    </row>
    <row r="41" spans="1:5" ht="16.5" customHeight="1" x14ac:dyDescent="0.3">
      <c r="A41" s="528" t="s">
        <v>8</v>
      </c>
      <c r="B41" s="532"/>
      <c r="C41" s="530"/>
      <c r="D41" s="530"/>
      <c r="E41" s="530"/>
    </row>
    <row r="42" spans="1:5" ht="16.5" customHeight="1" x14ac:dyDescent="0.3">
      <c r="A42" s="528" t="s">
        <v>10</v>
      </c>
      <c r="B42" s="534"/>
      <c r="C42" s="530"/>
      <c r="D42" s="530"/>
      <c r="E42" s="530"/>
    </row>
    <row r="43" spans="1:5" ht="15.75" customHeight="1" x14ac:dyDescent="0.25">
      <c r="A43" s="530"/>
      <c r="B43" s="530"/>
      <c r="C43" s="530"/>
      <c r="D43" s="530"/>
      <c r="E43" s="530"/>
    </row>
    <row r="44" spans="1:5" ht="16.5" customHeight="1" x14ac:dyDescent="0.3">
      <c r="A44" s="535" t="s">
        <v>13</v>
      </c>
      <c r="B44" s="536" t="s">
        <v>14</v>
      </c>
      <c r="C44" s="535" t="s">
        <v>15</v>
      </c>
      <c r="D44" s="535" t="s">
        <v>16</v>
      </c>
      <c r="E44" s="535" t="s">
        <v>17</v>
      </c>
    </row>
    <row r="45" spans="1:5" ht="16.5" customHeight="1" x14ac:dyDescent="0.3">
      <c r="A45" s="537">
        <v>1</v>
      </c>
      <c r="B45" s="538"/>
      <c r="C45" s="538"/>
      <c r="D45" s="539"/>
      <c r="E45" s="540"/>
    </row>
    <row r="46" spans="1:5" ht="16.5" customHeight="1" x14ac:dyDescent="0.3">
      <c r="A46" s="537">
        <v>2</v>
      </c>
      <c r="B46" s="538"/>
      <c r="C46" s="538"/>
      <c r="D46" s="539"/>
      <c r="E46" s="539"/>
    </row>
    <row r="47" spans="1:5" ht="16.5" customHeight="1" x14ac:dyDescent="0.3">
      <c r="A47" s="537">
        <v>3</v>
      </c>
      <c r="B47" s="538"/>
      <c r="C47" s="538"/>
      <c r="D47" s="539"/>
      <c r="E47" s="539"/>
    </row>
    <row r="48" spans="1:5" ht="16.5" customHeight="1" x14ac:dyDescent="0.3">
      <c r="A48" s="537">
        <v>4</v>
      </c>
      <c r="B48" s="538"/>
      <c r="C48" s="538"/>
      <c r="D48" s="539"/>
      <c r="E48" s="539"/>
    </row>
    <row r="49" spans="1:7" ht="16.5" customHeight="1" x14ac:dyDescent="0.3">
      <c r="A49" s="537">
        <v>5</v>
      </c>
      <c r="B49" s="538"/>
      <c r="C49" s="538"/>
      <c r="D49" s="539"/>
      <c r="E49" s="539"/>
    </row>
    <row r="50" spans="1:7" ht="16.5" customHeight="1" x14ac:dyDescent="0.3">
      <c r="A50" s="537">
        <v>6</v>
      </c>
      <c r="B50" s="541"/>
      <c r="C50" s="541"/>
      <c r="D50" s="542"/>
      <c r="E50" s="542"/>
    </row>
    <row r="51" spans="1:7" ht="16.5" customHeight="1" x14ac:dyDescent="0.3">
      <c r="A51" s="543" t="s">
        <v>18</v>
      </c>
      <c r="B51" s="544" t="e">
        <f>AVERAGE(B45:B50)</f>
        <v>#DIV/0!</v>
      </c>
      <c r="C51" s="545" t="e">
        <f>AVERAGE(C45:C50)</f>
        <v>#DIV/0!</v>
      </c>
      <c r="D51" s="546" t="e">
        <f>AVERAGE(D45:D50)</f>
        <v>#DIV/0!</v>
      </c>
      <c r="E51" s="546" t="e">
        <f>AVERAGE(E45:E50)</f>
        <v>#DIV/0!</v>
      </c>
    </row>
    <row r="52" spans="1:7" ht="16.5" customHeight="1" x14ac:dyDescent="0.3">
      <c r="A52" s="547" t="s">
        <v>19</v>
      </c>
      <c r="B52" s="548" t="e">
        <f>(STDEV(B45:B50)/B51)</f>
        <v>#DIV/0!</v>
      </c>
      <c r="C52" s="549"/>
      <c r="D52" s="549"/>
      <c r="E52" s="550"/>
    </row>
    <row r="53" spans="1:7" s="523" customFormat="1" ht="16.5" customHeight="1" x14ac:dyDescent="0.3">
      <c r="A53" s="551" t="s">
        <v>20</v>
      </c>
      <c r="B53" s="552">
        <f>COUNT(B45:B50)</f>
        <v>0</v>
      </c>
      <c r="C53" s="553"/>
      <c r="D53" s="554"/>
      <c r="E53" s="555"/>
    </row>
    <row r="54" spans="1:7" s="523" customFormat="1" ht="15.75" customHeight="1" x14ac:dyDescent="0.25">
      <c r="A54" s="530"/>
      <c r="B54" s="530"/>
      <c r="C54" s="530"/>
      <c r="D54" s="530"/>
      <c r="E54" s="530"/>
    </row>
    <row r="55" spans="1:7" s="523" customFormat="1" ht="16.5" customHeight="1" x14ac:dyDescent="0.3">
      <c r="A55" s="531" t="s">
        <v>21</v>
      </c>
      <c r="B55" s="556" t="s">
        <v>22</v>
      </c>
      <c r="C55" s="557"/>
      <c r="D55" s="557"/>
      <c r="E55" s="557"/>
    </row>
    <row r="56" spans="1:7" ht="16.5" customHeight="1" x14ac:dyDescent="0.3">
      <c r="A56" s="531"/>
      <c r="B56" s="556" t="s">
        <v>23</v>
      </c>
      <c r="C56" s="557"/>
      <c r="D56" s="557"/>
      <c r="E56" s="557"/>
    </row>
    <row r="57" spans="1:7" ht="16.5" customHeight="1" x14ac:dyDescent="0.3">
      <c r="A57" s="531"/>
      <c r="B57" s="556" t="s">
        <v>24</v>
      </c>
      <c r="C57" s="557"/>
      <c r="D57" s="557"/>
      <c r="E57" s="557"/>
    </row>
    <row r="58" spans="1:7" ht="14.25" customHeight="1" thickBot="1" x14ac:dyDescent="0.3">
      <c r="A58" s="558"/>
      <c r="B58" s="559"/>
      <c r="D58" s="560"/>
      <c r="F58" s="561"/>
      <c r="G58" s="561"/>
    </row>
    <row r="59" spans="1:7" ht="15" customHeight="1" x14ac:dyDescent="0.3">
      <c r="B59" s="562" t="s">
        <v>26</v>
      </c>
      <c r="C59" s="562"/>
      <c r="E59" s="563" t="s">
        <v>27</v>
      </c>
      <c r="F59" s="564"/>
      <c r="G59" s="563" t="s">
        <v>28</v>
      </c>
    </row>
    <row r="60" spans="1:7" ht="15" customHeight="1" x14ac:dyDescent="0.3">
      <c r="A60" s="565" t="s">
        <v>29</v>
      </c>
      <c r="B60" s="566" t="s">
        <v>136</v>
      </c>
      <c r="C60" s="566"/>
      <c r="E60" s="566"/>
      <c r="G60" s="566"/>
    </row>
    <row r="61" spans="1:7" ht="15" customHeight="1" x14ac:dyDescent="0.3">
      <c r="A61" s="565" t="s">
        <v>30</v>
      </c>
      <c r="B61" s="567"/>
      <c r="C61" s="567"/>
      <c r="E61" s="567"/>
      <c r="G61" s="56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B60" sqref="B60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4" width="25.85546875" style="476" customWidth="1"/>
    <col min="5" max="5" width="25.7109375" style="476" customWidth="1"/>
    <col min="6" max="6" width="23.140625" style="476" customWidth="1"/>
    <col min="7" max="7" width="28.42578125" style="476" customWidth="1"/>
    <col min="8" max="8" width="21.5703125" style="476" customWidth="1"/>
    <col min="9" max="9" width="9.140625" style="476" customWidth="1"/>
    <col min="10" max="16384" width="9.140625" style="514"/>
  </cols>
  <sheetData>
    <row r="14" spans="1:6" ht="15" customHeight="1" x14ac:dyDescent="0.3">
      <c r="A14" s="475"/>
      <c r="C14" s="477"/>
      <c r="F14" s="477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479" t="s">
        <v>1</v>
      </c>
      <c r="B16" s="480" t="s">
        <v>2</v>
      </c>
    </row>
    <row r="17" spans="1:5" ht="16.5" customHeight="1" x14ac:dyDescent="0.3">
      <c r="A17" s="481" t="s">
        <v>3</v>
      </c>
      <c r="B17" s="481" t="s">
        <v>5</v>
      </c>
      <c r="D17" s="482"/>
      <c r="E17" s="483"/>
    </row>
    <row r="18" spans="1:5" ht="16.5" customHeight="1" x14ac:dyDescent="0.3">
      <c r="A18" s="484" t="s">
        <v>4</v>
      </c>
      <c r="B18" s="485" t="s">
        <v>133</v>
      </c>
      <c r="C18" s="483"/>
      <c r="D18" s="483"/>
      <c r="E18" s="483"/>
    </row>
    <row r="19" spans="1:5" ht="16.5" customHeight="1" x14ac:dyDescent="0.3">
      <c r="A19" s="484" t="s">
        <v>6</v>
      </c>
      <c r="B19" s="485">
        <v>99.1</v>
      </c>
      <c r="C19" s="483"/>
      <c r="D19" s="483"/>
      <c r="E19" s="483"/>
    </row>
    <row r="20" spans="1:5" ht="16.5" customHeight="1" x14ac:dyDescent="0.3">
      <c r="A20" s="481" t="s">
        <v>8</v>
      </c>
      <c r="B20" s="485">
        <v>23.62</v>
      </c>
      <c r="C20" s="483"/>
      <c r="D20" s="483"/>
      <c r="E20" s="483"/>
    </row>
    <row r="21" spans="1:5" ht="16.5" customHeight="1" x14ac:dyDescent="0.3">
      <c r="A21" s="481" t="s">
        <v>10</v>
      </c>
      <c r="B21" s="486">
        <f>23.62/20</f>
        <v>1.181</v>
      </c>
      <c r="C21" s="483"/>
      <c r="D21" s="483"/>
      <c r="E21" s="483"/>
    </row>
    <row r="22" spans="1:5" ht="15.75" customHeight="1" x14ac:dyDescent="0.25">
      <c r="A22" s="483"/>
      <c r="B22" s="483"/>
      <c r="C22" s="483"/>
      <c r="D22" s="483"/>
      <c r="E22" s="483"/>
    </row>
    <row r="23" spans="1:5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17</v>
      </c>
    </row>
    <row r="24" spans="1:5" ht="16.5" customHeight="1" x14ac:dyDescent="0.3">
      <c r="A24" s="489">
        <v>1</v>
      </c>
      <c r="B24" s="490">
        <v>297100234</v>
      </c>
      <c r="C24" s="490">
        <v>1414.76</v>
      </c>
      <c r="D24" s="491">
        <v>3.34</v>
      </c>
      <c r="E24" s="492">
        <v>6.07</v>
      </c>
    </row>
    <row r="25" spans="1:5" ht="16.5" customHeight="1" x14ac:dyDescent="0.3">
      <c r="A25" s="489">
        <v>2</v>
      </c>
      <c r="B25" s="490">
        <v>297761768</v>
      </c>
      <c r="C25" s="491">
        <v>1407.1</v>
      </c>
      <c r="D25" s="491">
        <v>3.32</v>
      </c>
      <c r="E25" s="491">
        <v>6.07</v>
      </c>
    </row>
    <row r="26" spans="1:5" ht="16.5" customHeight="1" x14ac:dyDescent="0.3">
      <c r="A26" s="489">
        <v>3</v>
      </c>
      <c r="B26" s="490">
        <v>297714187</v>
      </c>
      <c r="C26" s="490">
        <v>1411.71</v>
      </c>
      <c r="D26" s="491">
        <v>3.41</v>
      </c>
      <c r="E26" s="491">
        <v>6.08</v>
      </c>
    </row>
    <row r="27" spans="1:5" ht="16.5" customHeight="1" x14ac:dyDescent="0.3">
      <c r="A27" s="489">
        <v>4</v>
      </c>
      <c r="B27" s="490">
        <v>299229204</v>
      </c>
      <c r="C27" s="490">
        <v>1405.01</v>
      </c>
      <c r="D27" s="491">
        <v>3.35</v>
      </c>
      <c r="E27" s="491">
        <v>6.08</v>
      </c>
    </row>
    <row r="28" spans="1:5" ht="16.5" customHeight="1" x14ac:dyDescent="0.3">
      <c r="A28" s="489">
        <v>5</v>
      </c>
      <c r="B28" s="490">
        <v>298694491</v>
      </c>
      <c r="C28" s="490">
        <v>1408.34</v>
      </c>
      <c r="D28" s="491">
        <v>3.4129999999999998</v>
      </c>
      <c r="E28" s="491">
        <v>6.08</v>
      </c>
    </row>
    <row r="29" spans="1:5" ht="16.5" customHeight="1" x14ac:dyDescent="0.3">
      <c r="A29" s="489">
        <v>6</v>
      </c>
      <c r="B29" s="493">
        <v>298426876</v>
      </c>
      <c r="C29" s="493">
        <v>1406.45</v>
      </c>
      <c r="D29" s="494">
        <v>3.34</v>
      </c>
      <c r="E29" s="494">
        <v>6.08</v>
      </c>
    </row>
    <row r="30" spans="1:5" ht="16.5" customHeight="1" x14ac:dyDescent="0.3">
      <c r="A30" s="495" t="s">
        <v>18</v>
      </c>
      <c r="B30" s="496">
        <f>AVERAGE(B24:B29)</f>
        <v>298154460</v>
      </c>
      <c r="C30" s="497">
        <f>AVERAGE(C24:C29)</f>
        <v>1408.8950000000002</v>
      </c>
      <c r="D30" s="498">
        <f>AVERAGE(D24:D29)</f>
        <v>3.3621666666666665</v>
      </c>
      <c r="E30" s="498">
        <f>AVERAGE(E24:E29)</f>
        <v>6.0766666666666653</v>
      </c>
    </row>
    <row r="31" spans="1:5" ht="16.5" customHeight="1" x14ac:dyDescent="0.3">
      <c r="A31" s="499" t="s">
        <v>19</v>
      </c>
      <c r="B31" s="500">
        <f>(STDEV(B24:B29)/B30)</f>
        <v>2.5894524133472556E-3</v>
      </c>
      <c r="C31" s="501"/>
      <c r="D31" s="501"/>
      <c r="E31" s="502"/>
    </row>
    <row r="32" spans="1:5" s="476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7"/>
    </row>
    <row r="33" spans="1:5" s="476" customFormat="1" ht="15.75" customHeight="1" x14ac:dyDescent="0.25">
      <c r="A33" s="483"/>
      <c r="B33" s="483"/>
      <c r="C33" s="483"/>
      <c r="D33" s="483"/>
      <c r="E33" s="483"/>
    </row>
    <row r="34" spans="1:5" s="476" customFormat="1" ht="16.5" customHeight="1" x14ac:dyDescent="0.3">
      <c r="A34" s="484" t="s">
        <v>21</v>
      </c>
      <c r="B34" s="508" t="s">
        <v>22</v>
      </c>
      <c r="C34" s="509"/>
      <c r="D34" s="509"/>
      <c r="E34" s="509"/>
    </row>
    <row r="35" spans="1:5" ht="16.5" customHeight="1" x14ac:dyDescent="0.3">
      <c r="A35" s="484"/>
      <c r="B35" s="508" t="s">
        <v>23</v>
      </c>
      <c r="C35" s="509"/>
      <c r="D35" s="509"/>
      <c r="E35" s="509"/>
    </row>
    <row r="36" spans="1:5" ht="16.5" customHeight="1" x14ac:dyDescent="0.3">
      <c r="A36" s="484"/>
      <c r="B36" s="510" t="s">
        <v>135</v>
      </c>
      <c r="C36" s="509"/>
      <c r="D36" s="509"/>
      <c r="E36" s="509"/>
    </row>
    <row r="37" spans="1:5" ht="15.75" customHeight="1" x14ac:dyDescent="0.25">
      <c r="A37" s="483"/>
      <c r="B37" s="483"/>
      <c r="C37" s="483"/>
      <c r="D37" s="483"/>
      <c r="E37" s="483"/>
    </row>
    <row r="38" spans="1:5" ht="16.5" customHeight="1" x14ac:dyDescent="0.3">
      <c r="A38" s="479" t="s">
        <v>1</v>
      </c>
      <c r="B38" s="480" t="s">
        <v>25</v>
      </c>
    </row>
    <row r="39" spans="1:5" ht="16.5" customHeight="1" x14ac:dyDescent="0.3">
      <c r="A39" s="484" t="s">
        <v>4</v>
      </c>
      <c r="B39" s="481"/>
      <c r="C39" s="483"/>
      <c r="D39" s="483"/>
      <c r="E39" s="483"/>
    </row>
    <row r="40" spans="1:5" ht="16.5" customHeight="1" x14ac:dyDescent="0.3">
      <c r="A40" s="484" t="s">
        <v>6</v>
      </c>
      <c r="B40" s="485"/>
      <c r="C40" s="483"/>
      <c r="D40" s="483"/>
      <c r="E40" s="483"/>
    </row>
    <row r="41" spans="1:5" ht="16.5" customHeight="1" x14ac:dyDescent="0.3">
      <c r="A41" s="481" t="s">
        <v>8</v>
      </c>
      <c r="B41" s="485"/>
      <c r="C41" s="483"/>
      <c r="D41" s="483"/>
      <c r="E41" s="483"/>
    </row>
    <row r="42" spans="1:5" ht="16.5" customHeight="1" x14ac:dyDescent="0.3">
      <c r="A42" s="481" t="s">
        <v>10</v>
      </c>
      <c r="B42" s="486"/>
      <c r="C42" s="483"/>
      <c r="D42" s="483"/>
      <c r="E42" s="483"/>
    </row>
    <row r="43" spans="1:5" ht="15.75" customHeight="1" x14ac:dyDescent="0.25">
      <c r="A43" s="483"/>
      <c r="B43" s="483"/>
      <c r="C43" s="483"/>
      <c r="D43" s="483"/>
      <c r="E43" s="483"/>
    </row>
    <row r="44" spans="1:5" ht="16.5" customHeight="1" x14ac:dyDescent="0.3">
      <c r="A44" s="487" t="s">
        <v>13</v>
      </c>
      <c r="B44" s="488" t="s">
        <v>14</v>
      </c>
      <c r="C44" s="487" t="s">
        <v>15</v>
      </c>
      <c r="D44" s="487" t="s">
        <v>16</v>
      </c>
      <c r="E44" s="487" t="s">
        <v>17</v>
      </c>
    </row>
    <row r="45" spans="1:5" ht="16.5" customHeight="1" x14ac:dyDescent="0.3">
      <c r="A45" s="489">
        <v>1</v>
      </c>
      <c r="B45" s="490"/>
      <c r="C45" s="490"/>
      <c r="D45" s="491"/>
      <c r="E45" s="492"/>
    </row>
    <row r="46" spans="1:5" ht="16.5" customHeight="1" x14ac:dyDescent="0.3">
      <c r="A46" s="489">
        <v>2</v>
      </c>
      <c r="B46" s="490"/>
      <c r="C46" s="490"/>
      <c r="D46" s="491"/>
      <c r="E46" s="491"/>
    </row>
    <row r="47" spans="1:5" ht="16.5" customHeight="1" x14ac:dyDescent="0.3">
      <c r="A47" s="489">
        <v>3</v>
      </c>
      <c r="B47" s="490"/>
      <c r="C47" s="490"/>
      <c r="D47" s="491"/>
      <c r="E47" s="491"/>
    </row>
    <row r="48" spans="1:5" ht="16.5" customHeight="1" x14ac:dyDescent="0.3">
      <c r="A48" s="489">
        <v>4</v>
      </c>
      <c r="B48" s="490"/>
      <c r="C48" s="490"/>
      <c r="D48" s="491"/>
      <c r="E48" s="491"/>
    </row>
    <row r="49" spans="1:7" ht="16.5" customHeight="1" x14ac:dyDescent="0.3">
      <c r="A49" s="489">
        <v>5</v>
      </c>
      <c r="B49" s="490"/>
      <c r="C49" s="490"/>
      <c r="D49" s="491"/>
      <c r="E49" s="491"/>
    </row>
    <row r="50" spans="1:7" ht="16.5" customHeight="1" x14ac:dyDescent="0.3">
      <c r="A50" s="489">
        <v>6</v>
      </c>
      <c r="B50" s="493"/>
      <c r="C50" s="493"/>
      <c r="D50" s="494"/>
      <c r="E50" s="494"/>
    </row>
    <row r="51" spans="1:7" ht="16.5" customHeight="1" x14ac:dyDescent="0.3">
      <c r="A51" s="495" t="s">
        <v>18</v>
      </c>
      <c r="B51" s="496" t="e">
        <f>AVERAGE(B45:B50)</f>
        <v>#DIV/0!</v>
      </c>
      <c r="C51" s="497" t="e">
        <f>AVERAGE(C45:C50)</f>
        <v>#DIV/0!</v>
      </c>
      <c r="D51" s="498" t="e">
        <f>AVERAGE(D45:D50)</f>
        <v>#DIV/0!</v>
      </c>
      <c r="E51" s="498" t="e">
        <f>AVERAGE(E45:E50)</f>
        <v>#DIV/0!</v>
      </c>
    </row>
    <row r="52" spans="1:7" ht="16.5" customHeight="1" x14ac:dyDescent="0.3">
      <c r="A52" s="499" t="s">
        <v>19</v>
      </c>
      <c r="B52" s="500" t="e">
        <f>(STDEV(B45:B50)/B51)</f>
        <v>#DIV/0!</v>
      </c>
      <c r="C52" s="501"/>
      <c r="D52" s="501"/>
      <c r="E52" s="502"/>
    </row>
    <row r="53" spans="1:7" s="476" customFormat="1" ht="16.5" customHeight="1" x14ac:dyDescent="0.3">
      <c r="A53" s="503" t="s">
        <v>20</v>
      </c>
      <c r="B53" s="504">
        <f>COUNT(B45:B50)</f>
        <v>0</v>
      </c>
      <c r="C53" s="505"/>
      <c r="D53" s="506"/>
      <c r="E53" s="507"/>
    </row>
    <row r="54" spans="1:7" s="476" customFormat="1" ht="15.75" customHeight="1" x14ac:dyDescent="0.25">
      <c r="A54" s="483"/>
      <c r="B54" s="483"/>
      <c r="C54" s="483"/>
      <c r="D54" s="483"/>
      <c r="E54" s="483"/>
    </row>
    <row r="55" spans="1:7" s="476" customFormat="1" ht="16.5" customHeight="1" x14ac:dyDescent="0.3">
      <c r="A55" s="484" t="s">
        <v>21</v>
      </c>
      <c r="B55" s="508" t="s">
        <v>22</v>
      </c>
      <c r="C55" s="509"/>
      <c r="D55" s="509"/>
      <c r="E55" s="509"/>
    </row>
    <row r="56" spans="1:7" ht="16.5" customHeight="1" x14ac:dyDescent="0.3">
      <c r="A56" s="484"/>
      <c r="B56" s="508" t="s">
        <v>23</v>
      </c>
      <c r="C56" s="509"/>
      <c r="D56" s="509"/>
      <c r="E56" s="509"/>
    </row>
    <row r="57" spans="1:7" ht="16.5" customHeight="1" x14ac:dyDescent="0.3">
      <c r="A57" s="484"/>
      <c r="B57" s="508" t="s">
        <v>24</v>
      </c>
      <c r="C57" s="509"/>
      <c r="D57" s="509"/>
      <c r="E57" s="509"/>
    </row>
    <row r="58" spans="1:7" ht="14.25" customHeight="1" thickBot="1" x14ac:dyDescent="0.3">
      <c r="A58" s="511"/>
      <c r="B58" s="512"/>
      <c r="D58" s="513"/>
      <c r="F58" s="514"/>
      <c r="G58" s="514"/>
    </row>
    <row r="59" spans="1:7" ht="15" customHeight="1" x14ac:dyDescent="0.3">
      <c r="B59" s="515" t="s">
        <v>26</v>
      </c>
      <c r="C59" s="515"/>
      <c r="E59" s="516" t="s">
        <v>27</v>
      </c>
      <c r="F59" s="517"/>
      <c r="G59" s="516" t="s">
        <v>28</v>
      </c>
    </row>
    <row r="60" spans="1:7" ht="15" customHeight="1" x14ac:dyDescent="0.3">
      <c r="A60" s="518" t="s">
        <v>29</v>
      </c>
      <c r="B60" s="519" t="s">
        <v>136</v>
      </c>
      <c r="C60" s="519"/>
      <c r="E60" s="519"/>
      <c r="G60" s="519"/>
    </row>
    <row r="61" spans="1:7" ht="15" customHeight="1" x14ac:dyDescent="0.3">
      <c r="A61" s="518" t="s">
        <v>30</v>
      </c>
      <c r="B61" s="520"/>
      <c r="C61" s="520"/>
      <c r="E61" s="520"/>
      <c r="G61" s="52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5" workbookViewId="0">
      <selection activeCell="D24" sqref="D2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9" t="s">
        <v>31</v>
      </c>
      <c r="B11" s="430"/>
      <c r="C11" s="430"/>
      <c r="D11" s="430"/>
      <c r="E11" s="430"/>
      <c r="F11" s="431"/>
      <c r="G11" s="43"/>
    </row>
    <row r="12" spans="1:7" ht="16.5" customHeight="1" x14ac:dyDescent="0.3">
      <c r="A12" s="428" t="s">
        <v>32</v>
      </c>
      <c r="B12" s="428"/>
      <c r="C12" s="428"/>
      <c r="D12" s="428"/>
      <c r="E12" s="428"/>
      <c r="F12" s="428"/>
      <c r="G12" s="42"/>
    </row>
    <row r="14" spans="1:7" ht="16.5" customHeight="1" x14ac:dyDescent="0.3">
      <c r="A14" s="433" t="s">
        <v>33</v>
      </c>
      <c r="B14" s="433"/>
      <c r="C14" s="12" t="s">
        <v>5</v>
      </c>
    </row>
    <row r="15" spans="1:7" ht="16.5" customHeight="1" x14ac:dyDescent="0.3">
      <c r="A15" s="433" t="s">
        <v>34</v>
      </c>
      <c r="B15" s="433"/>
      <c r="C15" s="12" t="s">
        <v>7</v>
      </c>
    </row>
    <row r="16" spans="1:7" ht="16.5" customHeight="1" x14ac:dyDescent="0.3">
      <c r="A16" s="433" t="s">
        <v>35</v>
      </c>
      <c r="B16" s="433"/>
      <c r="C16" s="12" t="s">
        <v>9</v>
      </c>
    </row>
    <row r="17" spans="1:5" ht="16.5" customHeight="1" x14ac:dyDescent="0.3">
      <c r="A17" s="433" t="s">
        <v>36</v>
      </c>
      <c r="B17" s="433"/>
      <c r="C17" s="12" t="s">
        <v>11</v>
      </c>
    </row>
    <row r="18" spans="1:5" ht="16.5" customHeight="1" x14ac:dyDescent="0.3">
      <c r="A18" s="433" t="s">
        <v>37</v>
      </c>
      <c r="B18" s="433"/>
      <c r="C18" s="49" t="s">
        <v>12</v>
      </c>
    </row>
    <row r="19" spans="1:5" ht="16.5" customHeight="1" x14ac:dyDescent="0.3">
      <c r="A19" s="433" t="s">
        <v>38</v>
      </c>
      <c r="B19" s="43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8" t="s">
        <v>1</v>
      </c>
      <c r="B21" s="428"/>
      <c r="C21" s="11" t="s">
        <v>39</v>
      </c>
      <c r="D21" s="18"/>
    </row>
    <row r="22" spans="1:5" ht="15.75" customHeight="1" x14ac:dyDescent="0.3">
      <c r="A22" s="432"/>
      <c r="B22" s="432"/>
      <c r="C22" s="9"/>
      <c r="D22" s="432"/>
      <c r="E22" s="43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285.39999999999998</v>
      </c>
      <c r="D24" s="39">
        <f t="shared" ref="D24:D43" si="0">(C24-$C$46)/$C$46</f>
        <v>-1.2962580184080745E-4</v>
      </c>
      <c r="E24" s="5"/>
    </row>
    <row r="25" spans="1:5" ht="15.75" customHeight="1" x14ac:dyDescent="0.3">
      <c r="C25" s="47">
        <v>290.99</v>
      </c>
      <c r="D25" s="40">
        <f t="shared" si="0"/>
        <v>1.9454380476252191E-2</v>
      </c>
      <c r="E25" s="5"/>
    </row>
    <row r="26" spans="1:5" ht="15.75" customHeight="1" x14ac:dyDescent="0.3">
      <c r="C26" s="47">
        <v>284.95</v>
      </c>
      <c r="D26" s="40">
        <f t="shared" si="0"/>
        <v>-1.706155824227494E-3</v>
      </c>
      <c r="E26" s="5"/>
    </row>
    <row r="27" spans="1:5" ht="15.75" customHeight="1" x14ac:dyDescent="0.3">
      <c r="C27" s="47">
        <v>283.26</v>
      </c>
      <c r="D27" s="40">
        <f t="shared" si="0"/>
        <v>-7.6269019083020804E-3</v>
      </c>
      <c r="E27" s="5"/>
    </row>
    <row r="28" spans="1:5" ht="15.75" customHeight="1" x14ac:dyDescent="0.3">
      <c r="C28" s="47">
        <v>284.62</v>
      </c>
      <c r="D28" s="40">
        <f t="shared" si="0"/>
        <v>-2.8622778406443708E-3</v>
      </c>
      <c r="E28" s="5"/>
    </row>
    <row r="29" spans="1:5" ht="15.75" customHeight="1" x14ac:dyDescent="0.3">
      <c r="C29" s="47">
        <v>286.01</v>
      </c>
      <c r="D29" s="40">
        <f t="shared" si="0"/>
        <v>2.0074482285056916E-3</v>
      </c>
      <c r="E29" s="5"/>
    </row>
    <row r="30" spans="1:5" ht="15.75" customHeight="1" x14ac:dyDescent="0.3">
      <c r="C30" s="47">
        <v>283.93</v>
      </c>
      <c r="D30" s="40">
        <f t="shared" si="0"/>
        <v>-5.2796238749706764E-3</v>
      </c>
      <c r="E30" s="5"/>
    </row>
    <row r="31" spans="1:5" ht="15.75" customHeight="1" x14ac:dyDescent="0.3">
      <c r="C31" s="47">
        <v>284.92</v>
      </c>
      <c r="D31" s="40">
        <f t="shared" si="0"/>
        <v>-1.8112578257198468E-3</v>
      </c>
      <c r="E31" s="5"/>
    </row>
    <row r="32" spans="1:5" ht="15.75" customHeight="1" x14ac:dyDescent="0.3">
      <c r="C32" s="47">
        <v>284.32</v>
      </c>
      <c r="D32" s="40">
        <f t="shared" si="0"/>
        <v>-3.9132978555688949E-3</v>
      </c>
      <c r="E32" s="5"/>
    </row>
    <row r="33" spans="1:7" ht="15.75" customHeight="1" x14ac:dyDescent="0.3">
      <c r="C33" s="47">
        <v>286.66000000000003</v>
      </c>
      <c r="D33" s="40">
        <f t="shared" si="0"/>
        <v>4.2846582608421935E-3</v>
      </c>
      <c r="E33" s="5"/>
    </row>
    <row r="34" spans="1:7" ht="15.75" customHeight="1" x14ac:dyDescent="0.3">
      <c r="C34" s="47">
        <v>284.38</v>
      </c>
      <c r="D34" s="40">
        <f t="shared" si="0"/>
        <v>-3.7030938525839897E-3</v>
      </c>
      <c r="E34" s="5"/>
    </row>
    <row r="35" spans="1:7" ht="15.75" customHeight="1" x14ac:dyDescent="0.3">
      <c r="C35" s="47">
        <v>284.43</v>
      </c>
      <c r="D35" s="40">
        <f t="shared" si="0"/>
        <v>-3.5279238500965362E-3</v>
      </c>
      <c r="E35" s="5"/>
    </row>
    <row r="36" spans="1:7" ht="15.75" customHeight="1" x14ac:dyDescent="0.3">
      <c r="C36" s="47">
        <v>285.64</v>
      </c>
      <c r="D36" s="40">
        <f t="shared" si="0"/>
        <v>7.1119021009881172E-4</v>
      </c>
      <c r="E36" s="5"/>
    </row>
    <row r="37" spans="1:7" ht="15.75" customHeight="1" x14ac:dyDescent="0.3">
      <c r="C37" s="47">
        <v>285.06</v>
      </c>
      <c r="D37" s="40">
        <f t="shared" si="0"/>
        <v>-1.3207818187551351E-3</v>
      </c>
      <c r="E37" s="5"/>
    </row>
    <row r="38" spans="1:7" ht="15.75" customHeight="1" x14ac:dyDescent="0.3">
      <c r="C38" s="47">
        <v>286.89</v>
      </c>
      <c r="D38" s="40">
        <f t="shared" si="0"/>
        <v>5.0904402722841621E-3</v>
      </c>
      <c r="E38" s="5"/>
    </row>
    <row r="39" spans="1:7" ht="15.75" customHeight="1" x14ac:dyDescent="0.3">
      <c r="C39" s="47">
        <v>285.06</v>
      </c>
      <c r="D39" s="40">
        <f t="shared" si="0"/>
        <v>-1.3207818187551351E-3</v>
      </c>
      <c r="E39" s="5"/>
    </row>
    <row r="40" spans="1:7" ht="15.75" customHeight="1" x14ac:dyDescent="0.3">
      <c r="C40" s="47">
        <v>286.58</v>
      </c>
      <c r="D40" s="40">
        <f t="shared" si="0"/>
        <v>4.0043862568621873E-3</v>
      </c>
      <c r="E40" s="5"/>
    </row>
    <row r="41" spans="1:7" ht="15.75" customHeight="1" x14ac:dyDescent="0.3">
      <c r="C41" s="47">
        <v>283.52999999999997</v>
      </c>
      <c r="D41" s="40">
        <f t="shared" si="0"/>
        <v>-6.6809838948701083E-3</v>
      </c>
      <c r="E41" s="5"/>
    </row>
    <row r="42" spans="1:7" ht="15.75" customHeight="1" x14ac:dyDescent="0.3">
      <c r="C42" s="47">
        <v>283.31</v>
      </c>
      <c r="D42" s="40">
        <f t="shared" si="0"/>
        <v>-7.4517319058146261E-3</v>
      </c>
      <c r="E42" s="5"/>
    </row>
    <row r="43" spans="1:7" ht="16.5" customHeight="1" x14ac:dyDescent="0.3">
      <c r="C43" s="48">
        <v>288.8</v>
      </c>
      <c r="D43" s="41">
        <f t="shared" si="0"/>
        <v>1.1781934367303466E-2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5708.7400000000007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285.43700000000001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26">
        <f>C46</f>
        <v>285.43700000000001</v>
      </c>
      <c r="C49" s="45">
        <f>-IF(C46&lt;=80,10%,IF(C46&lt;250,7.5%,5%))</f>
        <v>-0.05</v>
      </c>
      <c r="D49" s="33">
        <f>IF(C46&lt;=80,C46*0.9,IF(C46&lt;250,C46*0.925,C46*0.95))</f>
        <v>271.16514999999998</v>
      </c>
    </row>
    <row r="50" spans="1:6" ht="17.25" customHeight="1" x14ac:dyDescent="0.3">
      <c r="B50" s="427"/>
      <c r="C50" s="46">
        <f>IF(C46&lt;=80, 10%, IF(C46&lt;250, 7.5%, 5%))</f>
        <v>0.05</v>
      </c>
      <c r="D50" s="33">
        <f>IF(C46&lt;=80, C46*1.1, IF(C46&lt;250, C46*1.075, C46*1.05))</f>
        <v>299.70885000000004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sqref="A1:I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34" t="s">
        <v>45</v>
      </c>
      <c r="B1" s="434"/>
      <c r="C1" s="434"/>
      <c r="D1" s="434"/>
      <c r="E1" s="434"/>
      <c r="F1" s="434"/>
      <c r="G1" s="434"/>
      <c r="H1" s="434"/>
      <c r="I1" s="434"/>
    </row>
    <row r="2" spans="1:9" ht="18.75" customHeight="1" x14ac:dyDescent="0.25">
      <c r="A2" s="434"/>
      <c r="B2" s="434"/>
      <c r="C2" s="434"/>
      <c r="D2" s="434"/>
      <c r="E2" s="434"/>
      <c r="F2" s="434"/>
      <c r="G2" s="434"/>
      <c r="H2" s="434"/>
      <c r="I2" s="434"/>
    </row>
    <row r="3" spans="1:9" ht="18.75" customHeight="1" x14ac:dyDescent="0.25">
      <c r="A3" s="434"/>
      <c r="B3" s="434"/>
      <c r="C3" s="434"/>
      <c r="D3" s="434"/>
      <c r="E3" s="434"/>
      <c r="F3" s="434"/>
      <c r="G3" s="434"/>
      <c r="H3" s="434"/>
      <c r="I3" s="434"/>
    </row>
    <row r="4" spans="1:9" ht="18.75" customHeight="1" x14ac:dyDescent="0.25">
      <c r="A4" s="434"/>
      <c r="B4" s="434"/>
      <c r="C4" s="434"/>
      <c r="D4" s="434"/>
      <c r="E4" s="434"/>
      <c r="F4" s="434"/>
      <c r="G4" s="434"/>
      <c r="H4" s="434"/>
      <c r="I4" s="434"/>
    </row>
    <row r="5" spans="1:9" ht="18.75" customHeight="1" x14ac:dyDescent="0.25">
      <c r="A5" s="434"/>
      <c r="B5" s="434"/>
      <c r="C5" s="434"/>
      <c r="D5" s="434"/>
      <c r="E5" s="434"/>
      <c r="F5" s="434"/>
      <c r="G5" s="434"/>
      <c r="H5" s="434"/>
      <c r="I5" s="434"/>
    </row>
    <row r="6" spans="1:9" ht="18.75" customHeight="1" x14ac:dyDescent="0.25">
      <c r="A6" s="434"/>
      <c r="B6" s="434"/>
      <c r="C6" s="434"/>
      <c r="D6" s="434"/>
      <c r="E6" s="434"/>
      <c r="F6" s="434"/>
      <c r="G6" s="434"/>
      <c r="H6" s="434"/>
      <c r="I6" s="434"/>
    </row>
    <row r="7" spans="1:9" ht="18.75" customHeight="1" x14ac:dyDescent="0.25">
      <c r="A7" s="434"/>
      <c r="B7" s="434"/>
      <c r="C7" s="434"/>
      <c r="D7" s="434"/>
      <c r="E7" s="434"/>
      <c r="F7" s="434"/>
      <c r="G7" s="434"/>
      <c r="H7" s="434"/>
      <c r="I7" s="434"/>
    </row>
    <row r="8" spans="1:9" x14ac:dyDescent="0.25">
      <c r="A8" s="435" t="s">
        <v>46</v>
      </c>
      <c r="B8" s="435"/>
      <c r="C8" s="435"/>
      <c r="D8" s="435"/>
      <c r="E8" s="435"/>
      <c r="F8" s="435"/>
      <c r="G8" s="435"/>
      <c r="H8" s="435"/>
      <c r="I8" s="435"/>
    </row>
    <row r="9" spans="1:9" x14ac:dyDescent="0.25">
      <c r="A9" s="435"/>
      <c r="B9" s="435"/>
      <c r="C9" s="435"/>
      <c r="D9" s="435"/>
      <c r="E9" s="435"/>
      <c r="F9" s="435"/>
      <c r="G9" s="435"/>
      <c r="H9" s="435"/>
      <c r="I9" s="435"/>
    </row>
    <row r="10" spans="1:9" x14ac:dyDescent="0.25">
      <c r="A10" s="435"/>
      <c r="B10" s="435"/>
      <c r="C10" s="435"/>
      <c r="D10" s="435"/>
      <c r="E10" s="435"/>
      <c r="F10" s="435"/>
      <c r="G10" s="435"/>
      <c r="H10" s="435"/>
      <c r="I10" s="435"/>
    </row>
    <row r="11" spans="1:9" x14ac:dyDescent="0.25">
      <c r="A11" s="435"/>
      <c r="B11" s="435"/>
      <c r="C11" s="435"/>
      <c r="D11" s="435"/>
      <c r="E11" s="435"/>
      <c r="F11" s="435"/>
      <c r="G11" s="435"/>
      <c r="H11" s="435"/>
      <c r="I11" s="435"/>
    </row>
    <row r="12" spans="1:9" x14ac:dyDescent="0.25">
      <c r="A12" s="435"/>
      <c r="B12" s="435"/>
      <c r="C12" s="435"/>
      <c r="D12" s="435"/>
      <c r="E12" s="435"/>
      <c r="F12" s="435"/>
      <c r="G12" s="435"/>
      <c r="H12" s="435"/>
      <c r="I12" s="435"/>
    </row>
    <row r="13" spans="1:9" x14ac:dyDescent="0.25">
      <c r="A13" s="435"/>
      <c r="B13" s="435"/>
      <c r="C13" s="435"/>
      <c r="D13" s="435"/>
      <c r="E13" s="435"/>
      <c r="F13" s="435"/>
      <c r="G13" s="435"/>
      <c r="H13" s="435"/>
      <c r="I13" s="435"/>
    </row>
    <row r="14" spans="1:9" x14ac:dyDescent="0.25">
      <c r="A14" s="435"/>
      <c r="B14" s="435"/>
      <c r="C14" s="435"/>
      <c r="D14" s="435"/>
      <c r="E14" s="435"/>
      <c r="F14" s="435"/>
      <c r="G14" s="435"/>
      <c r="H14" s="435"/>
      <c r="I14" s="435"/>
    </row>
    <row r="15" spans="1:9" ht="19.5" customHeight="1" x14ac:dyDescent="0.3">
      <c r="A15" s="50"/>
    </row>
    <row r="16" spans="1:9" ht="19.5" customHeight="1" x14ac:dyDescent="0.3">
      <c r="A16" s="467" t="s">
        <v>31</v>
      </c>
      <c r="B16" s="468"/>
      <c r="C16" s="468"/>
      <c r="D16" s="468"/>
      <c r="E16" s="468"/>
      <c r="F16" s="468"/>
      <c r="G16" s="468"/>
      <c r="H16" s="469"/>
    </row>
    <row r="17" spans="1:14" ht="20.25" customHeight="1" x14ac:dyDescent="0.25">
      <c r="A17" s="470" t="s">
        <v>47</v>
      </c>
      <c r="B17" s="470"/>
      <c r="C17" s="470"/>
      <c r="D17" s="470"/>
      <c r="E17" s="470"/>
      <c r="F17" s="470"/>
      <c r="G17" s="470"/>
      <c r="H17" s="470"/>
    </row>
    <row r="18" spans="1:14" ht="26.25" customHeight="1" x14ac:dyDescent="0.4">
      <c r="A18" s="52" t="s">
        <v>33</v>
      </c>
      <c r="B18" s="466" t="s">
        <v>5</v>
      </c>
      <c r="C18" s="466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71" t="s">
        <v>131</v>
      </c>
      <c r="C20" s="471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71" t="s">
        <v>11</v>
      </c>
      <c r="C21" s="471"/>
      <c r="D21" s="471"/>
      <c r="E21" s="471"/>
      <c r="F21" s="471"/>
      <c r="G21" s="471"/>
      <c r="H21" s="471"/>
      <c r="I21" s="56"/>
    </row>
    <row r="22" spans="1:14" ht="26.25" customHeight="1" x14ac:dyDescent="0.4">
      <c r="A22" s="52" t="s">
        <v>37</v>
      </c>
      <c r="B22" s="57">
        <v>43153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43175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66" t="s">
        <v>131</v>
      </c>
      <c r="C26" s="466"/>
    </row>
    <row r="27" spans="1:14" ht="26.25" customHeight="1" x14ac:dyDescent="0.4">
      <c r="A27" s="61" t="s">
        <v>48</v>
      </c>
      <c r="B27" s="472" t="s">
        <v>132</v>
      </c>
      <c r="C27" s="472"/>
    </row>
    <row r="28" spans="1:14" ht="27" customHeight="1" x14ac:dyDescent="0.4">
      <c r="A28" s="61" t="s">
        <v>6</v>
      </c>
      <c r="B28" s="62">
        <v>98.932000000000002</v>
      </c>
    </row>
    <row r="29" spans="1:14" s="3" customFormat="1" ht="27" customHeight="1" x14ac:dyDescent="0.4">
      <c r="A29" s="61" t="s">
        <v>49</v>
      </c>
      <c r="B29" s="63">
        <v>0</v>
      </c>
      <c r="C29" s="442" t="s">
        <v>50</v>
      </c>
      <c r="D29" s="443"/>
      <c r="E29" s="443"/>
      <c r="F29" s="443"/>
      <c r="G29" s="444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98.932000000000002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45" t="s">
        <v>53</v>
      </c>
      <c r="D31" s="446"/>
      <c r="E31" s="446"/>
      <c r="F31" s="446"/>
      <c r="G31" s="446"/>
      <c r="H31" s="447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45" t="s">
        <v>55</v>
      </c>
      <c r="D32" s="446"/>
      <c r="E32" s="446"/>
      <c r="F32" s="446"/>
      <c r="G32" s="446"/>
      <c r="H32" s="447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25</v>
      </c>
      <c r="C36" s="51"/>
      <c r="D36" s="448" t="s">
        <v>59</v>
      </c>
      <c r="E36" s="473"/>
      <c r="F36" s="448" t="s">
        <v>60</v>
      </c>
      <c r="G36" s="44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10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674423</v>
      </c>
      <c r="E38" s="85">
        <f>IF(ISBLANK(D38),"-",$D$48/$D$45*D38)</f>
        <v>643723.88516342267</v>
      </c>
      <c r="F38" s="84">
        <v>722373</v>
      </c>
      <c r="G38" s="86">
        <f>IF(ISBLANK(F38),"-",$D$48/$F$45*F38)</f>
        <v>630545.10252397158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671177</v>
      </c>
      <c r="E39" s="90">
        <f>IF(ISBLANK(D39),"-",$D$48/$D$45*D39)</f>
        <v>640625.64009876677</v>
      </c>
      <c r="F39" s="89">
        <v>714223</v>
      </c>
      <c r="G39" s="91">
        <f>IF(ISBLANK(F39),"-",$D$48/$F$45*F39)</f>
        <v>623431.12873817061</v>
      </c>
      <c r="I39" s="450">
        <f>ABS((F43/D43*D42)-F42)/D42</f>
        <v>1.7101427392370548E-2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661064</v>
      </c>
      <c r="E40" s="90">
        <f>IF(ISBLANK(D40),"-",$D$48/$D$45*D40)</f>
        <v>630972.97455999104</v>
      </c>
      <c r="F40" s="89">
        <v>723343</v>
      </c>
      <c r="G40" s="91">
        <f>IF(ISBLANK(F40),"-",$D$48/$F$45*F40)</f>
        <v>631391.79633651476</v>
      </c>
      <c r="I40" s="450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668888</v>
      </c>
      <c r="E42" s="100">
        <f>AVERAGE(E38:E41)</f>
        <v>638440.83327406028</v>
      </c>
      <c r="F42" s="99">
        <f>AVERAGE(F38:F41)</f>
        <v>719979.66666666663</v>
      </c>
      <c r="G42" s="101">
        <f>AVERAGE(G38:G41)</f>
        <v>628456.00919955235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10.59</v>
      </c>
      <c r="E43" s="92"/>
      <c r="F43" s="104">
        <v>11.58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10.59</v>
      </c>
      <c r="E44" s="107"/>
      <c r="F44" s="106">
        <f>F43*$B$34</f>
        <v>11.58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50</v>
      </c>
      <c r="C45" s="105" t="s">
        <v>77</v>
      </c>
      <c r="D45" s="109">
        <f>D44*$B$30/100</f>
        <v>10.476898799999999</v>
      </c>
      <c r="E45" s="110"/>
      <c r="F45" s="109">
        <f>F44*$B$30/100</f>
        <v>11.4563256</v>
      </c>
      <c r="H45" s="102"/>
    </row>
    <row r="46" spans="1:14" ht="19.5" customHeight="1" x14ac:dyDescent="0.3">
      <c r="A46" s="436" t="s">
        <v>78</v>
      </c>
      <c r="B46" s="437"/>
      <c r="C46" s="105" t="s">
        <v>79</v>
      </c>
      <c r="D46" s="111">
        <f>D45/$B$45</f>
        <v>0.20953797599999999</v>
      </c>
      <c r="E46" s="112"/>
      <c r="F46" s="113">
        <f>F45/$B$45</f>
        <v>0.229126512</v>
      </c>
      <c r="H46" s="102"/>
    </row>
    <row r="47" spans="1:14" ht="27" customHeight="1" x14ac:dyDescent="0.4">
      <c r="A47" s="438"/>
      <c r="B47" s="439"/>
      <c r="C47" s="114" t="s">
        <v>80</v>
      </c>
      <c r="D47" s="115">
        <v>0.2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10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633448.4212368062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1.1733825292718193E-2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Coartem Dispersible tablet contains Artemether 20 mg and Lumefantrine 120 mg.</v>
      </c>
    </row>
    <row r="56" spans="1:12" ht="26.25" customHeight="1" x14ac:dyDescent="0.4">
      <c r="A56" s="129" t="s">
        <v>87</v>
      </c>
      <c r="B56" s="130">
        <v>20</v>
      </c>
      <c r="C56" s="51" t="str">
        <f>B20</f>
        <v>Artemether</v>
      </c>
      <c r="H56" s="131"/>
    </row>
    <row r="57" spans="1:12" ht="18.75" x14ac:dyDescent="0.3">
      <c r="A57" s="128" t="s">
        <v>88</v>
      </c>
      <c r="B57" s="199">
        <f>Uniformity!C46</f>
        <v>285.43700000000001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453" t="s">
        <v>94</v>
      </c>
      <c r="D60" s="456">
        <v>293.33</v>
      </c>
      <c r="E60" s="134">
        <v>1</v>
      </c>
      <c r="F60" s="135">
        <v>628371</v>
      </c>
      <c r="G60" s="200">
        <f>IF(ISBLANK(F60),"-",(F60/$D$50*$D$47*$B$68)*($B$57/$D$60))</f>
        <v>19.305837983142055</v>
      </c>
      <c r="H60" s="218">
        <f t="shared" ref="H60:H71" si="0">IF(ISBLANK(F60),"-",(G60/$B$56)*100)</f>
        <v>96.529189915710276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454"/>
      <c r="D61" s="457"/>
      <c r="E61" s="136">
        <v>2</v>
      </c>
      <c r="F61" s="89">
        <v>622566</v>
      </c>
      <c r="G61" s="201">
        <f>IF(ISBLANK(F61),"-",(F61/$D$50*$D$47*$B$68)*($B$57/$D$60))</f>
        <v>19.127487312133781</v>
      </c>
      <c r="H61" s="219">
        <f t="shared" si="0"/>
        <v>95.637436560668903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54"/>
      <c r="D62" s="457"/>
      <c r="E62" s="136">
        <v>3</v>
      </c>
      <c r="F62" s="137">
        <v>625573</v>
      </c>
      <c r="G62" s="201">
        <f>IF(ISBLANK(F62),"-",(F62/$D$50*$D$47*$B$68)*($B$57/$D$60))</f>
        <v>19.219873266952366</v>
      </c>
      <c r="H62" s="219">
        <f t="shared" si="0"/>
        <v>96.099366334761825</v>
      </c>
      <c r="L62" s="64"/>
    </row>
    <row r="63" spans="1:12" ht="27" customHeight="1" x14ac:dyDescent="0.4">
      <c r="A63" s="76" t="s">
        <v>97</v>
      </c>
      <c r="B63" s="77">
        <v>1</v>
      </c>
      <c r="C63" s="463"/>
      <c r="D63" s="458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53" t="s">
        <v>99</v>
      </c>
      <c r="D64" s="456">
        <v>283.85000000000002</v>
      </c>
      <c r="E64" s="134">
        <v>1</v>
      </c>
      <c r="F64" s="135">
        <v>612651</v>
      </c>
      <c r="G64" s="200">
        <f>IF(ISBLANK(F64),"-",(F64/$D$50*$D$47*$B$68)*($B$57/$D$64))</f>
        <v>19.45150700639137</v>
      </c>
      <c r="H64" s="218">
        <f t="shared" si="0"/>
        <v>97.257535031956849</v>
      </c>
    </row>
    <row r="65" spans="1:8" ht="26.25" customHeight="1" x14ac:dyDescent="0.4">
      <c r="A65" s="76" t="s">
        <v>100</v>
      </c>
      <c r="B65" s="77">
        <v>1</v>
      </c>
      <c r="C65" s="454"/>
      <c r="D65" s="457"/>
      <c r="E65" s="136">
        <v>2</v>
      </c>
      <c r="F65" s="89">
        <v>617299</v>
      </c>
      <c r="G65" s="201">
        <f>IF(ISBLANK(F65),"-",(F65/$D$50*$D$47*$B$68)*($B$57/$D$64))</f>
        <v>19.599079775497607</v>
      </c>
      <c r="H65" s="219">
        <f t="shared" si="0"/>
        <v>97.995398877488043</v>
      </c>
    </row>
    <row r="66" spans="1:8" ht="26.25" customHeight="1" x14ac:dyDescent="0.4">
      <c r="A66" s="76" t="s">
        <v>101</v>
      </c>
      <c r="B66" s="77">
        <v>1</v>
      </c>
      <c r="C66" s="454"/>
      <c r="D66" s="457"/>
      <c r="E66" s="136">
        <v>3</v>
      </c>
      <c r="F66" s="89">
        <v>619268</v>
      </c>
      <c r="G66" s="201">
        <f>IF(ISBLANK(F66),"-",(F66/$D$50*$D$47*$B$68)*($B$57/$D$64))</f>
        <v>19.661595004062622</v>
      </c>
      <c r="H66" s="219">
        <f t="shared" si="0"/>
        <v>98.307975020313108</v>
      </c>
    </row>
    <row r="67" spans="1:8" ht="27" customHeight="1" x14ac:dyDescent="0.4">
      <c r="A67" s="76" t="s">
        <v>102</v>
      </c>
      <c r="B67" s="77">
        <v>1</v>
      </c>
      <c r="C67" s="463"/>
      <c r="D67" s="458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</v>
      </c>
      <c r="C68" s="453" t="s">
        <v>104</v>
      </c>
      <c r="D68" s="456">
        <v>287.88</v>
      </c>
      <c r="E68" s="134">
        <v>1</v>
      </c>
      <c r="F68" s="135">
        <v>606768</v>
      </c>
      <c r="G68" s="200">
        <f>IF(ISBLANK(F68),"-",(F68/$D$50*$D$47*$B$68)*($B$57/$D$68))</f>
        <v>18.995038602110522</v>
      </c>
      <c r="H68" s="219">
        <f t="shared" si="0"/>
        <v>94.975193010552616</v>
      </c>
    </row>
    <row r="69" spans="1:8" ht="27" customHeight="1" x14ac:dyDescent="0.4">
      <c r="A69" s="124" t="s">
        <v>105</v>
      </c>
      <c r="B69" s="141">
        <f>(D47*B68)/B56*B57</f>
        <v>285.43700000000001</v>
      </c>
      <c r="C69" s="454"/>
      <c r="D69" s="457"/>
      <c r="E69" s="136">
        <v>2</v>
      </c>
      <c r="F69" s="89">
        <v>605477</v>
      </c>
      <c r="G69" s="201">
        <f>IF(ISBLANK(F69),"-",(F69/$D$50*$D$47*$B$68)*($B$57/$D$68))</f>
        <v>18.95462349314742</v>
      </c>
      <c r="H69" s="219">
        <f t="shared" si="0"/>
        <v>94.773117465737101</v>
      </c>
    </row>
    <row r="70" spans="1:8" ht="26.25" customHeight="1" x14ac:dyDescent="0.4">
      <c r="A70" s="459" t="s">
        <v>78</v>
      </c>
      <c r="B70" s="460"/>
      <c r="C70" s="454"/>
      <c r="D70" s="457"/>
      <c r="E70" s="136">
        <v>3</v>
      </c>
      <c r="F70" s="89">
        <v>598108</v>
      </c>
      <c r="G70" s="201">
        <f>IF(ISBLANK(F70),"-",(F70/$D$50*$D$47*$B$68)*($B$57/$D$68))</f>
        <v>18.723934927733698</v>
      </c>
      <c r="H70" s="219">
        <f t="shared" si="0"/>
        <v>93.619674638668499</v>
      </c>
    </row>
    <row r="71" spans="1:8" ht="27" customHeight="1" x14ac:dyDescent="0.4">
      <c r="A71" s="461"/>
      <c r="B71" s="462"/>
      <c r="C71" s="455"/>
      <c r="D71" s="458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19.226553041241267</v>
      </c>
      <c r="H72" s="221">
        <f>AVERAGE(H60:H71)</f>
        <v>96.132765206206358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1.6187962098328863E-2</v>
      </c>
      <c r="H73" s="205">
        <f>STDEV(H60:H71)/H72</f>
        <v>1.6187962098328828E-2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440" t="str">
        <f>B26</f>
        <v>Artemether</v>
      </c>
      <c r="D76" s="440"/>
      <c r="E76" s="150" t="s">
        <v>108</v>
      </c>
      <c r="F76" s="150"/>
      <c r="G76" s="237">
        <f>H72</f>
        <v>96.132765206206358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74" t="str">
        <f>B26</f>
        <v>Artemether</v>
      </c>
      <c r="C79" s="474"/>
    </row>
    <row r="80" spans="1:8" ht="26.25" customHeight="1" x14ac:dyDescent="0.4">
      <c r="A80" s="61" t="s">
        <v>48</v>
      </c>
      <c r="B80" s="474" t="str">
        <f>B27</f>
        <v>A5-10</v>
      </c>
      <c r="C80" s="474"/>
    </row>
    <row r="81" spans="1:12" ht="27" customHeight="1" x14ac:dyDescent="0.4">
      <c r="A81" s="61" t="s">
        <v>6</v>
      </c>
      <c r="B81" s="153">
        <f>B28</f>
        <v>98.932000000000002</v>
      </c>
    </row>
    <row r="82" spans="1:12" s="3" customFormat="1" ht="27" customHeight="1" x14ac:dyDescent="0.4">
      <c r="A82" s="61" t="s">
        <v>49</v>
      </c>
      <c r="B82" s="63">
        <v>0</v>
      </c>
      <c r="C82" s="442" t="s">
        <v>50</v>
      </c>
      <c r="D82" s="443"/>
      <c r="E82" s="443"/>
      <c r="F82" s="443"/>
      <c r="G82" s="444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98.932000000000002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45" t="s">
        <v>111</v>
      </c>
      <c r="D84" s="446"/>
      <c r="E84" s="446"/>
      <c r="F84" s="446"/>
      <c r="G84" s="446"/>
      <c r="H84" s="447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45" t="s">
        <v>112</v>
      </c>
      <c r="D85" s="446"/>
      <c r="E85" s="446"/>
      <c r="F85" s="446"/>
      <c r="G85" s="446"/>
      <c r="H85" s="447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</v>
      </c>
      <c r="D89" s="154" t="s">
        <v>59</v>
      </c>
      <c r="E89" s="155"/>
      <c r="F89" s="448" t="s">
        <v>60</v>
      </c>
      <c r="G89" s="449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450" t="e">
        <f>ABS((F96/D96*D95)-F95)/D95</f>
        <v>#DIV/0!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450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 t="e">
        <f>AVERAGE(D91:D94)</f>
        <v>#DIV/0!</v>
      </c>
      <c r="E95" s="100" t="e">
        <f>AVERAGE(E91:E94)</f>
        <v>#DIV/0!</v>
      </c>
      <c r="F95" s="163" t="e">
        <f>AVERAGE(F91:F94)</f>
        <v>#DIV/0!</v>
      </c>
      <c r="G95" s="164" t="e">
        <f>AVERAGE(G91:G94)</f>
        <v>#DIV/0!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/>
      <c r="E96" s="92"/>
      <c r="F96" s="104"/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0</v>
      </c>
      <c r="E97" s="107"/>
      <c r="F97" s="106">
        <f>F96*$B$87</f>
        <v>0</v>
      </c>
    </row>
    <row r="98" spans="1:10" ht="19.5" customHeight="1" x14ac:dyDescent="0.3">
      <c r="A98" s="76" t="s">
        <v>76</v>
      </c>
      <c r="B98" s="169">
        <f>(B97/B96)*(B95/B94)*(B93/B92)*(B91/B90)*B89</f>
        <v>1</v>
      </c>
      <c r="C98" s="167" t="s">
        <v>115</v>
      </c>
      <c r="D98" s="170">
        <f>D97*$B$83/100</f>
        <v>0</v>
      </c>
      <c r="E98" s="110"/>
      <c r="F98" s="109">
        <f>F97*$B$83/100</f>
        <v>0</v>
      </c>
    </row>
    <row r="99" spans="1:10" ht="19.5" customHeight="1" x14ac:dyDescent="0.3">
      <c r="A99" s="436" t="s">
        <v>78</v>
      </c>
      <c r="B99" s="451"/>
      <c r="C99" s="167" t="s">
        <v>116</v>
      </c>
      <c r="D99" s="171">
        <f>D98/$B$98</f>
        <v>0</v>
      </c>
      <c r="E99" s="110"/>
      <c r="F99" s="113">
        <f>F98/$B$98</f>
        <v>0</v>
      </c>
      <c r="G99" s="172"/>
      <c r="H99" s="102"/>
    </row>
    <row r="100" spans="1:10" ht="19.5" customHeight="1" x14ac:dyDescent="0.3">
      <c r="A100" s="438"/>
      <c r="B100" s="452"/>
      <c r="C100" s="167" t="s">
        <v>80</v>
      </c>
      <c r="D100" s="173">
        <f>$B$56/$B$116</f>
        <v>20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20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20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 t="e">
        <f>AVERAGE(E91:E94,G91:G94)</f>
        <v>#DIV/0!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 t="e">
        <f>STDEV(E91:E94,G91:G94)/D103</f>
        <v>#DIV/0!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0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/>
      <c r="E108" s="202" t="str">
        <f t="shared" ref="E108:E113" si="1">IF(ISBLANK(D108),"-",D108/$D$103*$D$100*$B$116)</f>
        <v>-</v>
      </c>
      <c r="F108" s="229" t="str">
        <f t="shared" ref="F108:F113" si="2">IF(ISBLANK(D108), "-", (E108/$B$56)*100)</f>
        <v>-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/>
      <c r="E109" s="203" t="str">
        <f t="shared" si="1"/>
        <v>-</v>
      </c>
      <c r="F109" s="230" t="str">
        <f t="shared" si="2"/>
        <v>-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/>
      <c r="E110" s="203" t="str">
        <f t="shared" si="1"/>
        <v>-</v>
      </c>
      <c r="F110" s="230" t="str">
        <f t="shared" si="2"/>
        <v>-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/>
      <c r="E111" s="203" t="str">
        <f t="shared" si="1"/>
        <v>-</v>
      </c>
      <c r="F111" s="230" t="str">
        <f t="shared" si="2"/>
        <v>-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/>
      <c r="E112" s="203" t="str">
        <f t="shared" si="1"/>
        <v>-</v>
      </c>
      <c r="F112" s="230" t="str">
        <f t="shared" si="2"/>
        <v>-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/>
      <c r="E113" s="204" t="str">
        <f t="shared" si="1"/>
        <v>-</v>
      </c>
      <c r="F113" s="231" t="str">
        <f t="shared" si="2"/>
        <v>-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 t="e">
        <f>AVERAGE(E108:E113)</f>
        <v>#DIV/0!</v>
      </c>
      <c r="F115" s="233" t="e">
        <f>AVERAGE(F108:F113)</f>
        <v>#DIV/0!</v>
      </c>
    </row>
    <row r="116" spans="1:10" ht="27" customHeight="1" x14ac:dyDescent="0.4">
      <c r="A116" s="76" t="s">
        <v>103</v>
      </c>
      <c r="B116" s="108">
        <f>(B115/B114)*(B113/B112)*(B111/B110)*(B109/B108)*B107</f>
        <v>1</v>
      </c>
      <c r="C116" s="186"/>
      <c r="D116" s="210" t="s">
        <v>84</v>
      </c>
      <c r="E116" s="208" t="e">
        <f>STDEV(E108:E113)/E115</f>
        <v>#DIV/0!</v>
      </c>
      <c r="F116" s="187" t="e">
        <f>STDEV(F108:F113)/F115</f>
        <v>#DIV/0!</v>
      </c>
      <c r="I116" s="50"/>
    </row>
    <row r="117" spans="1:10" ht="27" customHeight="1" x14ac:dyDescent="0.4">
      <c r="A117" s="436" t="s">
        <v>78</v>
      </c>
      <c r="B117" s="437"/>
      <c r="C117" s="188"/>
      <c r="D117" s="147" t="s">
        <v>20</v>
      </c>
      <c r="E117" s="213">
        <f>COUNT(E108:E113)</f>
        <v>0</v>
      </c>
      <c r="F117" s="214">
        <f>COUNT(F108:F113)</f>
        <v>0</v>
      </c>
      <c r="I117" s="50"/>
      <c r="J117" s="181"/>
    </row>
    <row r="118" spans="1:10" ht="26.25" customHeight="1" x14ac:dyDescent="0.3">
      <c r="A118" s="438"/>
      <c r="B118" s="439"/>
      <c r="C118" s="50"/>
      <c r="D118" s="212"/>
      <c r="E118" s="464" t="s">
        <v>123</v>
      </c>
      <c r="F118" s="465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0</v>
      </c>
      <c r="F119" s="234">
        <f>MIN(F108:F113)</f>
        <v>0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0</v>
      </c>
      <c r="F120" s="235">
        <f>MAX(F108:F113)</f>
        <v>0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40" t="str">
        <f>B26</f>
        <v>Artemether</v>
      </c>
      <c r="D124" s="440"/>
      <c r="E124" s="150" t="s">
        <v>127</v>
      </c>
      <c r="F124" s="150"/>
      <c r="G124" s="236" t="e">
        <f>F115</f>
        <v>#DIV/0!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0</v>
      </c>
      <c r="E125" s="161" t="s">
        <v>130</v>
      </c>
      <c r="F125" s="236">
        <f>MAX(F108:F113)</f>
        <v>0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41" t="s">
        <v>26</v>
      </c>
      <c r="C127" s="441"/>
      <c r="E127" s="156" t="s">
        <v>27</v>
      </c>
      <c r="F127" s="191"/>
      <c r="G127" s="441" t="s">
        <v>28</v>
      </c>
      <c r="H127" s="441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C19" sqref="C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34" t="s">
        <v>45</v>
      </c>
      <c r="B1" s="434"/>
      <c r="C1" s="434"/>
      <c r="D1" s="434"/>
      <c r="E1" s="434"/>
      <c r="F1" s="434"/>
      <c r="G1" s="434"/>
      <c r="H1" s="434"/>
      <c r="I1" s="434"/>
    </row>
    <row r="2" spans="1:9" ht="18.75" customHeight="1" x14ac:dyDescent="0.25">
      <c r="A2" s="434"/>
      <c r="B2" s="434"/>
      <c r="C2" s="434"/>
      <c r="D2" s="434"/>
      <c r="E2" s="434"/>
      <c r="F2" s="434"/>
      <c r="G2" s="434"/>
      <c r="H2" s="434"/>
      <c r="I2" s="434"/>
    </row>
    <row r="3" spans="1:9" ht="18.75" customHeight="1" x14ac:dyDescent="0.25">
      <c r="A3" s="434"/>
      <c r="B3" s="434"/>
      <c r="C3" s="434"/>
      <c r="D3" s="434"/>
      <c r="E3" s="434"/>
      <c r="F3" s="434"/>
      <c r="G3" s="434"/>
      <c r="H3" s="434"/>
      <c r="I3" s="434"/>
    </row>
    <row r="4" spans="1:9" ht="18.75" customHeight="1" x14ac:dyDescent="0.25">
      <c r="A4" s="434"/>
      <c r="B4" s="434"/>
      <c r="C4" s="434"/>
      <c r="D4" s="434"/>
      <c r="E4" s="434"/>
      <c r="F4" s="434"/>
      <c r="G4" s="434"/>
      <c r="H4" s="434"/>
      <c r="I4" s="434"/>
    </row>
    <row r="5" spans="1:9" ht="18.75" customHeight="1" x14ac:dyDescent="0.25">
      <c r="A5" s="434"/>
      <c r="B5" s="434"/>
      <c r="C5" s="434"/>
      <c r="D5" s="434"/>
      <c r="E5" s="434"/>
      <c r="F5" s="434"/>
      <c r="G5" s="434"/>
      <c r="H5" s="434"/>
      <c r="I5" s="434"/>
    </row>
    <row r="6" spans="1:9" ht="18.75" customHeight="1" x14ac:dyDescent="0.25">
      <c r="A6" s="434"/>
      <c r="B6" s="434"/>
      <c r="C6" s="434"/>
      <c r="D6" s="434"/>
      <c r="E6" s="434"/>
      <c r="F6" s="434"/>
      <c r="G6" s="434"/>
      <c r="H6" s="434"/>
      <c r="I6" s="434"/>
    </row>
    <row r="7" spans="1:9" ht="18.75" customHeight="1" x14ac:dyDescent="0.25">
      <c r="A7" s="434"/>
      <c r="B7" s="434"/>
      <c r="C7" s="434"/>
      <c r="D7" s="434"/>
      <c r="E7" s="434"/>
      <c r="F7" s="434"/>
      <c r="G7" s="434"/>
      <c r="H7" s="434"/>
      <c r="I7" s="434"/>
    </row>
    <row r="8" spans="1:9" x14ac:dyDescent="0.25">
      <c r="A8" s="435" t="s">
        <v>46</v>
      </c>
      <c r="B8" s="435"/>
      <c r="C8" s="435"/>
      <c r="D8" s="435"/>
      <c r="E8" s="435"/>
      <c r="F8" s="435"/>
      <c r="G8" s="435"/>
      <c r="H8" s="435"/>
      <c r="I8" s="435"/>
    </row>
    <row r="9" spans="1:9" x14ac:dyDescent="0.25">
      <c r="A9" s="435"/>
      <c r="B9" s="435"/>
      <c r="C9" s="435"/>
      <c r="D9" s="435"/>
      <c r="E9" s="435"/>
      <c r="F9" s="435"/>
      <c r="G9" s="435"/>
      <c r="H9" s="435"/>
      <c r="I9" s="435"/>
    </row>
    <row r="10" spans="1:9" x14ac:dyDescent="0.25">
      <c r="A10" s="435"/>
      <c r="B10" s="435"/>
      <c r="C10" s="435"/>
      <c r="D10" s="435"/>
      <c r="E10" s="435"/>
      <c r="F10" s="435"/>
      <c r="G10" s="435"/>
      <c r="H10" s="435"/>
      <c r="I10" s="435"/>
    </row>
    <row r="11" spans="1:9" x14ac:dyDescent="0.25">
      <c r="A11" s="435"/>
      <c r="B11" s="435"/>
      <c r="C11" s="435"/>
      <c r="D11" s="435"/>
      <c r="E11" s="435"/>
      <c r="F11" s="435"/>
      <c r="G11" s="435"/>
      <c r="H11" s="435"/>
      <c r="I11" s="435"/>
    </row>
    <row r="12" spans="1:9" x14ac:dyDescent="0.25">
      <c r="A12" s="435"/>
      <c r="B12" s="435"/>
      <c r="C12" s="435"/>
      <c r="D12" s="435"/>
      <c r="E12" s="435"/>
      <c r="F12" s="435"/>
      <c r="G12" s="435"/>
      <c r="H12" s="435"/>
      <c r="I12" s="435"/>
    </row>
    <row r="13" spans="1:9" x14ac:dyDescent="0.25">
      <c r="A13" s="435"/>
      <c r="B13" s="435"/>
      <c r="C13" s="435"/>
      <c r="D13" s="435"/>
      <c r="E13" s="435"/>
      <c r="F13" s="435"/>
      <c r="G13" s="435"/>
      <c r="H13" s="435"/>
      <c r="I13" s="435"/>
    </row>
    <row r="14" spans="1:9" x14ac:dyDescent="0.25">
      <c r="A14" s="435"/>
      <c r="B14" s="435"/>
      <c r="C14" s="435"/>
      <c r="D14" s="435"/>
      <c r="E14" s="435"/>
      <c r="F14" s="435"/>
      <c r="G14" s="435"/>
      <c r="H14" s="435"/>
      <c r="I14" s="435"/>
    </row>
    <row r="15" spans="1:9" ht="19.5" customHeight="1" x14ac:dyDescent="0.3">
      <c r="A15" s="238"/>
    </row>
    <row r="16" spans="1:9" ht="19.5" customHeight="1" x14ac:dyDescent="0.3">
      <c r="A16" s="467" t="s">
        <v>31</v>
      </c>
      <c r="B16" s="468"/>
      <c r="C16" s="468"/>
      <c r="D16" s="468"/>
      <c r="E16" s="468"/>
      <c r="F16" s="468"/>
      <c r="G16" s="468"/>
      <c r="H16" s="469"/>
    </row>
    <row r="17" spans="1:14" ht="20.25" customHeight="1" x14ac:dyDescent="0.25">
      <c r="A17" s="470" t="s">
        <v>47</v>
      </c>
      <c r="B17" s="470"/>
      <c r="C17" s="470"/>
      <c r="D17" s="470"/>
      <c r="E17" s="470"/>
      <c r="F17" s="470"/>
      <c r="G17" s="470"/>
      <c r="H17" s="470"/>
    </row>
    <row r="18" spans="1:14" ht="26.25" customHeight="1" x14ac:dyDescent="0.4">
      <c r="A18" s="240" t="s">
        <v>33</v>
      </c>
      <c r="B18" s="466" t="s">
        <v>5</v>
      </c>
      <c r="C18" s="466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71" t="s">
        <v>133</v>
      </c>
      <c r="C20" s="471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71" t="s">
        <v>11</v>
      </c>
      <c r="C21" s="471"/>
      <c r="D21" s="471"/>
      <c r="E21" s="471"/>
      <c r="F21" s="471"/>
      <c r="G21" s="471"/>
      <c r="H21" s="471"/>
      <c r="I21" s="244"/>
    </row>
    <row r="22" spans="1:14" ht="26.25" customHeight="1" x14ac:dyDescent="0.4">
      <c r="A22" s="240" t="s">
        <v>37</v>
      </c>
      <c r="B22" s="245">
        <v>43153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43175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66" t="s">
        <v>133</v>
      </c>
      <c r="C26" s="466"/>
    </row>
    <row r="27" spans="1:14" ht="26.25" customHeight="1" x14ac:dyDescent="0.4">
      <c r="A27" s="249" t="s">
        <v>48</v>
      </c>
      <c r="B27" s="472" t="s">
        <v>134</v>
      </c>
      <c r="C27" s="472"/>
    </row>
    <row r="28" spans="1:14" ht="27" customHeight="1" x14ac:dyDescent="0.4">
      <c r="A28" s="249" t="s">
        <v>6</v>
      </c>
      <c r="B28" s="250">
        <v>99.1</v>
      </c>
    </row>
    <row r="29" spans="1:14" s="3" customFormat="1" ht="27" customHeight="1" x14ac:dyDescent="0.4">
      <c r="A29" s="249" t="s">
        <v>49</v>
      </c>
      <c r="B29" s="251">
        <v>0</v>
      </c>
      <c r="C29" s="442" t="s">
        <v>50</v>
      </c>
      <c r="D29" s="443"/>
      <c r="E29" s="443"/>
      <c r="F29" s="443"/>
      <c r="G29" s="444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99.1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45" t="s">
        <v>53</v>
      </c>
      <c r="D31" s="446"/>
      <c r="E31" s="446"/>
      <c r="F31" s="446"/>
      <c r="G31" s="446"/>
      <c r="H31" s="447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45" t="s">
        <v>55</v>
      </c>
      <c r="D32" s="446"/>
      <c r="E32" s="446"/>
      <c r="F32" s="446"/>
      <c r="G32" s="446"/>
      <c r="H32" s="447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448" t="s">
        <v>59</v>
      </c>
      <c r="E36" s="473"/>
      <c r="F36" s="448" t="s">
        <v>60</v>
      </c>
      <c r="G36" s="449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299170399</v>
      </c>
      <c r="E38" s="273">
        <f>IF(ISBLANK(D38),"-",$D$48/$D$45*D38)</f>
        <v>306744168.13130188</v>
      </c>
      <c r="F38" s="272">
        <v>307880129</v>
      </c>
      <c r="G38" s="274">
        <f>IF(ISBLANK(F38),"-",$D$48/$F$45*F38)</f>
        <v>304211715.97004628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299119865</v>
      </c>
      <c r="E39" s="278">
        <f>IF(ISBLANK(D39),"-",$D$48/$D$45*D39)</f>
        <v>306692354.81740397</v>
      </c>
      <c r="F39" s="277">
        <v>304759515</v>
      </c>
      <c r="G39" s="279">
        <f>IF(ISBLANK(F39),"-",$D$48/$F$45*F39)</f>
        <v>301128284.30167717</v>
      </c>
      <c r="I39" s="450">
        <f>ABS((F43/D43*D42)-F42)/D42</f>
        <v>8.4440818091755607E-3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296201006</v>
      </c>
      <c r="E40" s="278">
        <f>IF(ISBLANK(D40),"-",$D$48/$D$45*D40)</f>
        <v>303699602.26287216</v>
      </c>
      <c r="F40" s="277">
        <v>308002839</v>
      </c>
      <c r="G40" s="279">
        <f>IF(ISBLANK(F40),"-",$D$48/$F$45*F40)</f>
        <v>304332963.87190968</v>
      </c>
      <c r="I40" s="450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298163756.66666669</v>
      </c>
      <c r="E42" s="288">
        <f>AVERAGE(E38:E41)</f>
        <v>305712041.73719269</v>
      </c>
      <c r="F42" s="287">
        <f>AVERAGE(F38:F41)</f>
        <v>306880827.66666669</v>
      </c>
      <c r="G42" s="289">
        <f>AVERAGE(G38:G41)</f>
        <v>303224321.38121104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23.62</v>
      </c>
      <c r="E43" s="280"/>
      <c r="F43" s="292">
        <v>24.51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23.62</v>
      </c>
      <c r="E44" s="295"/>
      <c r="F44" s="294">
        <f>F43*$B$34</f>
        <v>24.51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20</v>
      </c>
      <c r="C45" s="293" t="s">
        <v>77</v>
      </c>
      <c r="D45" s="297">
        <f>D44*$B$30/100</f>
        <v>23.407420000000002</v>
      </c>
      <c r="E45" s="298"/>
      <c r="F45" s="297">
        <f>F44*$B$30/100</f>
        <v>24.289409999999997</v>
      </c>
      <c r="H45" s="290"/>
    </row>
    <row r="46" spans="1:14" ht="19.5" customHeight="1" x14ac:dyDescent="0.3">
      <c r="A46" s="436" t="s">
        <v>78</v>
      </c>
      <c r="B46" s="437"/>
      <c r="C46" s="293" t="s">
        <v>79</v>
      </c>
      <c r="D46" s="299">
        <f>D45/$B$45</f>
        <v>1.1703710000000001</v>
      </c>
      <c r="E46" s="300"/>
      <c r="F46" s="301">
        <f>F45/$B$45</f>
        <v>1.2144704999999998</v>
      </c>
      <c r="H46" s="290"/>
    </row>
    <row r="47" spans="1:14" ht="27" customHeight="1" x14ac:dyDescent="0.4">
      <c r="A47" s="438"/>
      <c r="B47" s="439"/>
      <c r="C47" s="302" t="s">
        <v>80</v>
      </c>
      <c r="D47" s="303">
        <v>1.2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24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24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304468181.5592019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6.882672283512305E-3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Coartem Dispersible tablet contains Artemether 20 mg and Lumefantrine 120 mg.</v>
      </c>
    </row>
    <row r="56" spans="1:12" ht="26.25" customHeight="1" x14ac:dyDescent="0.4">
      <c r="A56" s="317" t="s">
        <v>87</v>
      </c>
      <c r="B56" s="318">
        <v>120</v>
      </c>
      <c r="C56" s="239" t="str">
        <f>B20</f>
        <v>Lumefantrine</v>
      </c>
      <c r="H56" s="319"/>
    </row>
    <row r="57" spans="1:12" ht="18.75" x14ac:dyDescent="0.3">
      <c r="A57" s="316" t="s">
        <v>88</v>
      </c>
      <c r="B57" s="387">
        <f>Uniformity!C46</f>
        <v>285.43700000000001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</v>
      </c>
      <c r="C60" s="453" t="s">
        <v>94</v>
      </c>
      <c r="D60" s="456">
        <v>293.33</v>
      </c>
      <c r="E60" s="322">
        <v>1</v>
      </c>
      <c r="F60" s="323">
        <v>307282047</v>
      </c>
      <c r="G60" s="388">
        <f>IF(ISBLANK(F60),"-",(F60/$D$50*$D$47*$B$68)*($B$57/$D$60))</f>
        <v>117.85019511308242</v>
      </c>
      <c r="H60" s="406">
        <f t="shared" ref="H60:H71" si="0">IF(ISBLANK(F60),"-",(G60/$B$56)*100)</f>
        <v>98.208495927568691</v>
      </c>
      <c r="L60" s="252"/>
    </row>
    <row r="61" spans="1:12" s="3" customFormat="1" ht="26.25" customHeight="1" x14ac:dyDescent="0.4">
      <c r="A61" s="264" t="s">
        <v>95</v>
      </c>
      <c r="B61" s="265">
        <v>1</v>
      </c>
      <c r="C61" s="454"/>
      <c r="D61" s="457"/>
      <c r="E61" s="324">
        <v>2</v>
      </c>
      <c r="F61" s="277">
        <v>304065510</v>
      </c>
      <c r="G61" s="389">
        <f>IF(ISBLANK(F61),"-",(F61/$D$50*$D$47*$B$68)*($B$57/$D$60))</f>
        <v>116.61657435085662</v>
      </c>
      <c r="H61" s="407">
        <f t="shared" si="0"/>
        <v>97.180478625713846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454"/>
      <c r="D62" s="457"/>
      <c r="E62" s="324">
        <v>3</v>
      </c>
      <c r="F62" s="325">
        <v>305138853</v>
      </c>
      <c r="G62" s="389">
        <f>IF(ISBLANK(F62),"-",(F62/$D$50*$D$47*$B$68)*($B$57/$D$60))</f>
        <v>117.0282276941229</v>
      </c>
      <c r="H62" s="407">
        <f t="shared" si="0"/>
        <v>97.523523078435758</v>
      </c>
      <c r="L62" s="252"/>
    </row>
    <row r="63" spans="1:12" ht="27" customHeight="1" x14ac:dyDescent="0.4">
      <c r="A63" s="264" t="s">
        <v>97</v>
      </c>
      <c r="B63" s="265">
        <v>1</v>
      </c>
      <c r="C63" s="463"/>
      <c r="D63" s="458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453" t="s">
        <v>99</v>
      </c>
      <c r="D64" s="456">
        <v>283.85000000000002</v>
      </c>
      <c r="E64" s="322">
        <v>1</v>
      </c>
      <c r="F64" s="323">
        <v>302317130</v>
      </c>
      <c r="G64" s="388">
        <f>IF(ISBLANK(F64),"-",(F64/$D$50*$D$47*$B$68)*($B$57/$D$64))</f>
        <v>119.81838410263553</v>
      </c>
      <c r="H64" s="406">
        <f t="shared" si="0"/>
        <v>99.848653418862938</v>
      </c>
    </row>
    <row r="65" spans="1:8" ht="26.25" customHeight="1" x14ac:dyDescent="0.4">
      <c r="A65" s="264" t="s">
        <v>100</v>
      </c>
      <c r="B65" s="265">
        <v>1</v>
      </c>
      <c r="C65" s="454"/>
      <c r="D65" s="457"/>
      <c r="E65" s="324">
        <v>2</v>
      </c>
      <c r="F65" s="277">
        <v>304808761</v>
      </c>
      <c r="G65" s="389">
        <f>IF(ISBLANK(F65),"-",(F65/$D$50*$D$47*$B$68)*($B$57/$D$64))</f>
        <v>120.80590075509922</v>
      </c>
      <c r="H65" s="407">
        <f t="shared" si="0"/>
        <v>100.67158396258269</v>
      </c>
    </row>
    <row r="66" spans="1:8" ht="26.25" customHeight="1" x14ac:dyDescent="0.4">
      <c r="A66" s="264" t="s">
        <v>101</v>
      </c>
      <c r="B66" s="265">
        <v>1</v>
      </c>
      <c r="C66" s="454"/>
      <c r="D66" s="457"/>
      <c r="E66" s="324">
        <v>3</v>
      </c>
      <c r="F66" s="277">
        <v>305563808</v>
      </c>
      <c r="G66" s="389">
        <f>IF(ISBLANK(F66),"-",(F66/$D$50*$D$47*$B$68)*($B$57/$D$64))</f>
        <v>121.1051511199778</v>
      </c>
      <c r="H66" s="407">
        <f t="shared" si="0"/>
        <v>100.92095926664817</v>
      </c>
    </row>
    <row r="67" spans="1:8" ht="27" customHeight="1" x14ac:dyDescent="0.4">
      <c r="A67" s="264" t="s">
        <v>102</v>
      </c>
      <c r="B67" s="265">
        <v>1</v>
      </c>
      <c r="C67" s="463"/>
      <c r="D67" s="458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</v>
      </c>
      <c r="C68" s="453" t="s">
        <v>104</v>
      </c>
      <c r="D68" s="456">
        <v>287.88</v>
      </c>
      <c r="E68" s="322">
        <v>1</v>
      </c>
      <c r="F68" s="323">
        <v>301545522</v>
      </c>
      <c r="G68" s="388">
        <f>IF(ISBLANK(F68),"-",(F68/$D$50*$D$47*$B$68)*($B$57/$D$68))</f>
        <v>117.83952692613549</v>
      </c>
      <c r="H68" s="407">
        <f t="shared" si="0"/>
        <v>98.199605771779574</v>
      </c>
    </row>
    <row r="69" spans="1:8" ht="27" customHeight="1" x14ac:dyDescent="0.4">
      <c r="A69" s="312" t="s">
        <v>105</v>
      </c>
      <c r="B69" s="329">
        <f>(D47*B68)/B56*B57</f>
        <v>285.43700000000001</v>
      </c>
      <c r="C69" s="454"/>
      <c r="D69" s="457"/>
      <c r="E69" s="324">
        <v>2</v>
      </c>
      <c r="F69" s="277">
        <v>301454646</v>
      </c>
      <c r="G69" s="389">
        <f>IF(ISBLANK(F69),"-",(F69/$D$50*$D$47*$B$68)*($B$57/$D$68))</f>
        <v>117.80401393035989</v>
      </c>
      <c r="H69" s="407">
        <f t="shared" si="0"/>
        <v>98.170011608633232</v>
      </c>
    </row>
    <row r="70" spans="1:8" ht="26.25" customHeight="1" x14ac:dyDescent="0.4">
      <c r="A70" s="459" t="s">
        <v>78</v>
      </c>
      <c r="B70" s="460"/>
      <c r="C70" s="454"/>
      <c r="D70" s="457"/>
      <c r="E70" s="324">
        <v>3</v>
      </c>
      <c r="F70" s="277">
        <v>297491789</v>
      </c>
      <c r="G70" s="389">
        <f>IF(ISBLANK(F70),"-",(F70/$D$50*$D$47*$B$68)*($B$57/$D$68))</f>
        <v>116.25538806764213</v>
      </c>
      <c r="H70" s="407">
        <f t="shared" si="0"/>
        <v>96.879490056368439</v>
      </c>
    </row>
    <row r="71" spans="1:8" ht="27" customHeight="1" x14ac:dyDescent="0.4">
      <c r="A71" s="461"/>
      <c r="B71" s="462"/>
      <c r="C71" s="455"/>
      <c r="D71" s="458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118.34704022887912</v>
      </c>
      <c r="H72" s="409">
        <f>AVERAGE(H60:H71)</f>
        <v>98.622533524065929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1.5152514039838482E-2</v>
      </c>
      <c r="H73" s="393">
        <f>STDEV(H60:H71)/H72</f>
        <v>1.5152514039838492E-2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440" t="str">
        <f>B26</f>
        <v>Lumefantrine</v>
      </c>
      <c r="D76" s="440"/>
      <c r="E76" s="338" t="s">
        <v>108</v>
      </c>
      <c r="F76" s="338"/>
      <c r="G76" s="425">
        <f>H72</f>
        <v>98.622533524065929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74" t="str">
        <f>B26</f>
        <v>Lumefantrine</v>
      </c>
      <c r="C79" s="474"/>
    </row>
    <row r="80" spans="1:8" ht="26.25" customHeight="1" x14ac:dyDescent="0.4">
      <c r="A80" s="249" t="s">
        <v>48</v>
      </c>
      <c r="B80" s="474" t="str">
        <f>B27</f>
        <v>L1-0</v>
      </c>
      <c r="C80" s="474"/>
    </row>
    <row r="81" spans="1:12" ht="27" customHeight="1" x14ac:dyDescent="0.4">
      <c r="A81" s="249" t="s">
        <v>6</v>
      </c>
      <c r="B81" s="341">
        <f>B28</f>
        <v>99.1</v>
      </c>
    </row>
    <row r="82" spans="1:12" s="3" customFormat="1" ht="27" customHeight="1" x14ac:dyDescent="0.4">
      <c r="A82" s="249" t="s">
        <v>49</v>
      </c>
      <c r="B82" s="251">
        <v>0</v>
      </c>
      <c r="C82" s="442" t="s">
        <v>50</v>
      </c>
      <c r="D82" s="443"/>
      <c r="E82" s="443"/>
      <c r="F82" s="443"/>
      <c r="G82" s="444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99.1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45" t="s">
        <v>111</v>
      </c>
      <c r="D84" s="446"/>
      <c r="E84" s="446"/>
      <c r="F84" s="446"/>
      <c r="G84" s="446"/>
      <c r="H84" s="447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45" t="s">
        <v>112</v>
      </c>
      <c r="D85" s="446"/>
      <c r="E85" s="446"/>
      <c r="F85" s="446"/>
      <c r="G85" s="446"/>
      <c r="H85" s="447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1</v>
      </c>
      <c r="D89" s="342" t="s">
        <v>59</v>
      </c>
      <c r="E89" s="343"/>
      <c r="F89" s="448" t="s">
        <v>60</v>
      </c>
      <c r="G89" s="449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/>
      <c r="E91" s="273" t="str">
        <f>IF(ISBLANK(D91),"-",$D$101/$D$98*D91)</f>
        <v>-</v>
      </c>
      <c r="F91" s="272"/>
      <c r="G91" s="274" t="str">
        <f>IF(ISBLANK(F91),"-",$D$101/$F$98*F91)</f>
        <v>-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/>
      <c r="E92" s="278" t="str">
        <f>IF(ISBLANK(D92),"-",$D$101/$D$98*D92)</f>
        <v>-</v>
      </c>
      <c r="F92" s="277"/>
      <c r="G92" s="279" t="str">
        <f>IF(ISBLANK(F92),"-",$D$101/$F$98*F92)</f>
        <v>-</v>
      </c>
      <c r="I92" s="450" t="e">
        <f>ABS((F96/D96*D95)-F95)/D95</f>
        <v>#DIV/0!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/>
      <c r="E93" s="278" t="str">
        <f>IF(ISBLANK(D93),"-",$D$101/$D$98*D93)</f>
        <v>-</v>
      </c>
      <c r="F93" s="277"/>
      <c r="G93" s="279" t="str">
        <f>IF(ISBLANK(F93),"-",$D$101/$F$98*F93)</f>
        <v>-</v>
      </c>
      <c r="I93" s="450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 t="e">
        <f>AVERAGE(D91:D94)</f>
        <v>#DIV/0!</v>
      </c>
      <c r="E95" s="288" t="e">
        <f>AVERAGE(E91:E94)</f>
        <v>#DIV/0!</v>
      </c>
      <c r="F95" s="351" t="e">
        <f>AVERAGE(F91:F94)</f>
        <v>#DIV/0!</v>
      </c>
      <c r="G95" s="352" t="e">
        <f>AVERAGE(G91:G94)</f>
        <v>#DIV/0!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/>
      <c r="E96" s="280"/>
      <c r="F96" s="292"/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0</v>
      </c>
      <c r="E97" s="295"/>
      <c r="F97" s="294">
        <f>F96*$B$87</f>
        <v>0</v>
      </c>
    </row>
    <row r="98" spans="1:10" ht="19.5" customHeight="1" x14ac:dyDescent="0.3">
      <c r="A98" s="264" t="s">
        <v>76</v>
      </c>
      <c r="B98" s="357">
        <f>(B97/B96)*(B95/B94)*(B93/B92)*(B91/B90)*B89</f>
        <v>1</v>
      </c>
      <c r="C98" s="355" t="s">
        <v>115</v>
      </c>
      <c r="D98" s="358">
        <f>D97*$B$83/100</f>
        <v>0</v>
      </c>
      <c r="E98" s="298"/>
      <c r="F98" s="297">
        <f>F97*$B$83/100</f>
        <v>0</v>
      </c>
    </row>
    <row r="99" spans="1:10" ht="19.5" customHeight="1" x14ac:dyDescent="0.3">
      <c r="A99" s="436" t="s">
        <v>78</v>
      </c>
      <c r="B99" s="451"/>
      <c r="C99" s="355" t="s">
        <v>116</v>
      </c>
      <c r="D99" s="359">
        <f>D98/$B$98</f>
        <v>0</v>
      </c>
      <c r="E99" s="298"/>
      <c r="F99" s="301">
        <f>F98/$B$98</f>
        <v>0</v>
      </c>
      <c r="G99" s="360"/>
      <c r="H99" s="290"/>
    </row>
    <row r="100" spans="1:10" ht="19.5" customHeight="1" x14ac:dyDescent="0.3">
      <c r="A100" s="438"/>
      <c r="B100" s="452"/>
      <c r="C100" s="355" t="s">
        <v>80</v>
      </c>
      <c r="D100" s="361">
        <f>$B$56/$B$116</f>
        <v>120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120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120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 t="e">
        <f>AVERAGE(E91:E94,G91:G94)</f>
        <v>#DIV/0!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 t="e">
        <f>STDEV(E91:E94,G91:G94)/D103</f>
        <v>#DIV/0!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0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/>
      <c r="E108" s="390" t="str">
        <f t="shared" ref="E108:E113" si="1">IF(ISBLANK(D108),"-",D108/$D$103*$D$100*$B$116)</f>
        <v>-</v>
      </c>
      <c r="F108" s="417" t="str">
        <f t="shared" ref="F108:F113" si="2">IF(ISBLANK(D108), "-", (E108/$B$56)*100)</f>
        <v>-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/>
      <c r="E109" s="391" t="str">
        <f t="shared" si="1"/>
        <v>-</v>
      </c>
      <c r="F109" s="418" t="str">
        <f t="shared" si="2"/>
        <v>-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/>
      <c r="E110" s="391" t="str">
        <f t="shared" si="1"/>
        <v>-</v>
      </c>
      <c r="F110" s="418" t="str">
        <f t="shared" si="2"/>
        <v>-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/>
      <c r="E111" s="391" t="str">
        <f t="shared" si="1"/>
        <v>-</v>
      </c>
      <c r="F111" s="418" t="str">
        <f t="shared" si="2"/>
        <v>-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/>
      <c r="E112" s="391" t="str">
        <f t="shared" si="1"/>
        <v>-</v>
      </c>
      <c r="F112" s="418" t="str">
        <f t="shared" si="2"/>
        <v>-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/>
      <c r="E113" s="392" t="str">
        <f t="shared" si="1"/>
        <v>-</v>
      </c>
      <c r="F113" s="419" t="str">
        <f t="shared" si="2"/>
        <v>-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 t="e">
        <f>AVERAGE(E108:E113)</f>
        <v>#DIV/0!</v>
      </c>
      <c r="F115" s="421" t="e">
        <f>AVERAGE(F108:F113)</f>
        <v>#DIV/0!</v>
      </c>
    </row>
    <row r="116" spans="1:10" ht="27" customHeight="1" x14ac:dyDescent="0.4">
      <c r="A116" s="264" t="s">
        <v>103</v>
      </c>
      <c r="B116" s="296">
        <f>(B115/B114)*(B113/B112)*(B111/B110)*(B109/B108)*B107</f>
        <v>1</v>
      </c>
      <c r="C116" s="374"/>
      <c r="D116" s="398" t="s">
        <v>84</v>
      </c>
      <c r="E116" s="396" t="e">
        <f>STDEV(E108:E113)/E115</f>
        <v>#DIV/0!</v>
      </c>
      <c r="F116" s="375" t="e">
        <f>STDEV(F108:F113)/F115</f>
        <v>#DIV/0!</v>
      </c>
      <c r="I116" s="238"/>
    </row>
    <row r="117" spans="1:10" ht="27" customHeight="1" x14ac:dyDescent="0.4">
      <c r="A117" s="436" t="s">
        <v>78</v>
      </c>
      <c r="B117" s="437"/>
      <c r="C117" s="376"/>
      <c r="D117" s="335" t="s">
        <v>20</v>
      </c>
      <c r="E117" s="401">
        <f>COUNT(E108:E113)</f>
        <v>0</v>
      </c>
      <c r="F117" s="402">
        <f>COUNT(F108:F113)</f>
        <v>0</v>
      </c>
      <c r="I117" s="238"/>
      <c r="J117" s="369"/>
    </row>
    <row r="118" spans="1:10" ht="26.25" customHeight="1" x14ac:dyDescent="0.3">
      <c r="A118" s="438"/>
      <c r="B118" s="439"/>
      <c r="C118" s="238"/>
      <c r="D118" s="400"/>
      <c r="E118" s="464" t="s">
        <v>123</v>
      </c>
      <c r="F118" s="465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0</v>
      </c>
      <c r="F119" s="422">
        <f>MIN(F108:F113)</f>
        <v>0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0</v>
      </c>
      <c r="F120" s="423">
        <f>MAX(F108:F113)</f>
        <v>0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440" t="str">
        <f>B26</f>
        <v>Lumefantrine</v>
      </c>
      <c r="D124" s="440"/>
      <c r="E124" s="338" t="s">
        <v>127</v>
      </c>
      <c r="F124" s="338"/>
      <c r="G124" s="424" t="e">
        <f>F115</f>
        <v>#DIV/0!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0</v>
      </c>
      <c r="E125" s="349" t="s">
        <v>130</v>
      </c>
      <c r="F125" s="424">
        <f>MAX(F108:F113)</f>
        <v>0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441" t="s">
        <v>26</v>
      </c>
      <c r="C127" s="441"/>
      <c r="E127" s="344" t="s">
        <v>27</v>
      </c>
      <c r="F127" s="379"/>
      <c r="G127" s="441" t="s">
        <v>28</v>
      </c>
      <c r="H127" s="441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Artemether</vt:lpstr>
      <vt:lpstr>SST Lumefantrine</vt:lpstr>
      <vt:lpstr>Uniformity</vt:lpstr>
      <vt:lpstr>Artemether</vt:lpstr>
      <vt:lpstr>Lumefantrine</vt:lpstr>
      <vt:lpstr>Artemether!Print_Area</vt:lpstr>
      <vt:lpstr>Lumefantrine!Print_Area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2018-03-16T11:11:40Z</cp:lastPrinted>
  <dcterms:created xsi:type="dcterms:W3CDTF">2005-07-05T10:19:27Z</dcterms:created>
  <dcterms:modified xsi:type="dcterms:W3CDTF">2018-03-16T11:14:03Z</dcterms:modified>
</cp:coreProperties>
</file>