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3"/>
  </bookViews>
  <sheets>
    <sheet name="SST" sheetId="1" r:id="rId1"/>
    <sheet name="Uniformity" sheetId="2" r:id="rId2"/>
    <sheet name="Ritonavir " sheetId="6" r:id="rId3"/>
    <sheet name="Friability" sheetId="7" r:id="rId4"/>
  </sheets>
  <definedNames>
    <definedName name="_xlnm.Print_Area" localSheetId="2">'Ritonavir '!$A$1:$I$129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D4" i="7" l="1"/>
  <c r="B57" i="6"/>
  <c r="B21" i="1" l="1"/>
  <c r="C124" i="6"/>
  <c r="B116" i="6"/>
  <c r="D101" i="6"/>
  <c r="D100" i="6"/>
  <c r="B98" i="6"/>
  <c r="D97" i="6"/>
  <c r="D98" i="6" s="1"/>
  <c r="F95" i="6"/>
  <c r="D95" i="6"/>
  <c r="I92" i="6" s="1"/>
  <c r="G94" i="6"/>
  <c r="E94" i="6"/>
  <c r="B87" i="6"/>
  <c r="F97" i="6" s="1"/>
  <c r="F98" i="6" s="1"/>
  <c r="F99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D48" i="6"/>
  <c r="B45" i="6"/>
  <c r="F42" i="6"/>
  <c r="D42" i="6"/>
  <c r="G41" i="6"/>
  <c r="E41" i="6"/>
  <c r="B34" i="6"/>
  <c r="F44" i="6" s="1"/>
  <c r="F45" i="6" s="1"/>
  <c r="B30" i="6"/>
  <c r="E92" i="6" l="1"/>
  <c r="D44" i="6"/>
  <c r="D45" i="6" s="1"/>
  <c r="I39" i="6"/>
  <c r="B69" i="6"/>
  <c r="G38" i="6"/>
  <c r="F46" i="6"/>
  <c r="G40" i="6"/>
  <c r="D99" i="6"/>
  <c r="E93" i="6"/>
  <c r="D102" i="6"/>
  <c r="E39" i="6"/>
  <c r="G39" i="6"/>
  <c r="E91" i="6"/>
  <c r="E40" i="6"/>
  <c r="D49" i="6"/>
  <c r="G92" i="6"/>
  <c r="G93" i="6"/>
  <c r="G91" i="6"/>
  <c r="D46" i="6" l="1"/>
  <c r="E38" i="6"/>
  <c r="D50" i="6"/>
  <c r="G61" i="6" s="1"/>
  <c r="H61" i="6" s="1"/>
  <c r="D51" i="6"/>
  <c r="G60" i="6"/>
  <c r="G62" i="6"/>
  <c r="H62" i="6" s="1"/>
  <c r="G70" i="6"/>
  <c r="H70" i="6" s="1"/>
  <c r="G69" i="6"/>
  <c r="H69" i="6" s="1"/>
  <c r="D105" i="6"/>
  <c r="E95" i="6"/>
  <c r="D103" i="6"/>
  <c r="G95" i="6"/>
  <c r="G42" i="6"/>
  <c r="G66" i="6" l="1"/>
  <c r="H66" i="6" s="1"/>
  <c r="G64" i="6"/>
  <c r="H64" i="6" s="1"/>
  <c r="E42" i="6"/>
  <c r="D52" i="6"/>
  <c r="G65" i="6"/>
  <c r="H65" i="6" s="1"/>
  <c r="G68" i="6"/>
  <c r="H68" i="6" s="1"/>
  <c r="H60" i="6"/>
  <c r="E113" i="6"/>
  <c r="F113" i="6" s="1"/>
  <c r="E109" i="6"/>
  <c r="F109" i="6" s="1"/>
  <c r="E112" i="6"/>
  <c r="F112" i="6" s="1"/>
  <c r="E108" i="6"/>
  <c r="E110" i="6"/>
  <c r="F110" i="6" s="1"/>
  <c r="E111" i="6"/>
  <c r="F111" i="6" s="1"/>
  <c r="D104" i="6"/>
  <c r="G74" i="6" l="1"/>
  <c r="G72" i="6"/>
  <c r="G73" i="6" s="1"/>
  <c r="H72" i="6"/>
  <c r="H74" i="6"/>
  <c r="E115" i="6"/>
  <c r="E116" i="6" s="1"/>
  <c r="E117" i="6"/>
  <c r="F108" i="6"/>
  <c r="E120" i="6"/>
  <c r="E119" i="6"/>
  <c r="G76" i="6" l="1"/>
  <c r="H73" i="6"/>
  <c r="F125" i="6"/>
  <c r="F117" i="6"/>
  <c r="D125" i="6"/>
  <c r="F120" i="6"/>
  <c r="F115" i="6"/>
  <c r="F119" i="6"/>
  <c r="F116" i="6" l="1"/>
  <c r="G124" i="6"/>
  <c r="C46" i="2" l="1"/>
  <c r="B49" i="2" s="1"/>
  <c r="C45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1" i="2" l="1"/>
  <c r="D27" i="2"/>
  <c r="D31" i="2"/>
  <c r="D35" i="2"/>
  <c r="D42" i="2"/>
  <c r="C49" i="2"/>
  <c r="D30" i="2"/>
  <c r="D34" i="2"/>
  <c r="D24" i="2"/>
  <c r="D28" i="2"/>
  <c r="D32" i="2"/>
  <c r="D37" i="2"/>
  <c r="D43" i="2"/>
  <c r="C50" i="2"/>
  <c r="D25" i="2"/>
  <c r="D29" i="2"/>
  <c r="D33" i="2"/>
  <c r="D39" i="2"/>
  <c r="D50" i="2"/>
  <c r="D40" i="2"/>
  <c r="D49" i="2"/>
  <c r="D36" i="2"/>
  <c r="D38" i="2"/>
</calcChain>
</file>

<file path=xl/sharedStrings.xml><?xml version="1.0" encoding="utf-8"?>
<sst xmlns="http://schemas.openxmlformats.org/spreadsheetml/2006/main" count="238" uniqueCount="136">
  <si>
    <t>HPLC System Suitability Report</t>
  </si>
  <si>
    <t>Analysis Data</t>
  </si>
  <si>
    <t>Assay</t>
  </si>
  <si>
    <t>Sample(s)</t>
  </si>
  <si>
    <t>Reference Substance:</t>
  </si>
  <si>
    <t>NORVIR 100 mg TABLETS</t>
  </si>
  <si>
    <t>% age Purity:</t>
  </si>
  <si>
    <t>NDQB201709192</t>
  </si>
  <si>
    <t>Weight (mg):</t>
  </si>
  <si>
    <t>Ritonavir</t>
  </si>
  <si>
    <t>Standard Conc (mg/mL):</t>
  </si>
  <si>
    <t>Each film-coated tablet contains  Ritonavir 100 mg.</t>
  </si>
  <si>
    <t>2017-09-27 10:13:06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</si>
  <si>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</si>
  <si>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</si>
  <si>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</si>
  <si>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</si>
  <si>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</si>
  <si>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</si>
  <si>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</si>
  <si>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</si>
  <si>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</si>
  <si>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</si>
  <si>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</si>
  <si>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</si>
  <si>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</si>
  <si>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</si>
  <si>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</si>
  <si>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</si>
  <si>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</si>
  <si>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</si>
  <si>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</si>
  <si>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</si>
  <si>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</si>
  <si>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</si>
  <si>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</si>
  <si>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</si>
  <si>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</si>
  <si>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</si>
  <si>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</si>
  <si>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</si>
  <si>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</si>
  <si>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</si>
  <si>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</si>
  <si>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</si>
  <si>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</si>
  <si>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</si>
  <si>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</si>
  <si>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</si>
  <si>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</si>
  <si>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</si>
  <si>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</si>
  <si>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</si>
  <si>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</si>
  <si>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</si>
  <si>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</si>
  <si>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</si>
  <si>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</si>
  <si>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</si>
  <si>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</si>
  <si>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</si>
  <si>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</si>
  <si>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</si>
  <si>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</si>
  <si>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</si>
  <si>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</si>
  <si>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</si>
  <si>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</si>
  <si>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</si>
  <si>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</si>
  <si>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</si>
  <si>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</si>
  <si>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</si>
  <si>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</si>
  <si>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</si>
  <si>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</si>
  <si>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</si>
  <si>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</si>
  <si>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</si>
  <si>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</si>
  <si>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</si>
  <si>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</si>
  <si>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</si>
  <si>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</si>
  <si>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</si>
  <si>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</si>
  <si>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</si>
  <si>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</si>
  <si>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</si>
  <si>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</si>
  <si>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</si>
  <si>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</si>
  <si>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</si>
  <si>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</si>
  <si>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</si>
  <si>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</si>
  <si>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</si>
  <si>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</si>
  <si>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</si>
  <si>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</si>
  <si>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</si>
  <si>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</si>
  <si>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</si>
  <si>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</si>
  <si>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</si>
  <si>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</si>
  <si>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</si>
  <si>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</si>
  <si>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</si>
  <si>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</si>
  <si>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</si>
  <si>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</si>
  <si>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</si>
  <si>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</si>
  <si>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</si>
  <si>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</si>
  <si>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</si>
  <si>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</si>
  <si>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</si>
  <si>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</si>
  <si>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</si>
  <si>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</si>
  <si>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</si>
  <si>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</si>
  <si>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</si>
  <si>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</si>
  <si>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</si>
  <si>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</si>
  <si>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</si>
  <si>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</si>
  <si>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</si>
  <si>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R6-1</t>
  </si>
  <si>
    <t>RITONAVIR 100 MG TABLETS</t>
  </si>
  <si>
    <t>NDQB20170192</t>
  </si>
  <si>
    <t>RUTTO   KENNEDY</t>
  </si>
  <si>
    <t>NDQB201709163- SMP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</si>
</sst>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  <numFmt numFmtId="171" formatCode="dd\-mmm\-yyyy"/>
    <numFmt numFmtId="172" formatCode="0.0\ &quot;mg&quot;"/>
    <numFmt numFmtId="173" formatCode="0.00\ &quot;%&quot;"/>
    <numFmt numFmtId="174" formatCode="0\ &quot;%&quot;"/>
    <numFmt numFmtId="176" formatCode="0.0000%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9" fontId="25" fillId="0" borderId="0" applyFont="0" applyFill="0" applyBorder="0" applyAlignment="0" applyProtection="0"/>
  </cellStyleXfs>
  <cellXfs count="3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4" fillId="2" borderId="0" xfId="1" applyFont="1" applyFill="1" applyAlignment="1" applyProtection="1">
      <alignment horizontal="right"/>
      <protection locked="0"/>
    </xf>
    <xf numFmtId="0" fontId="14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71" fontId="13" fillId="3" borderId="0" xfId="1" applyNumberFormat="1" applyFont="1" applyFill="1" applyAlignment="1" applyProtection="1">
      <alignment horizontal="center"/>
      <protection locked="0"/>
    </xf>
    <xf numFmtId="15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21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5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8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4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right"/>
    </xf>
    <xf numFmtId="0" fontId="14" fillId="3" borderId="30" xfId="1" applyFont="1" applyFill="1" applyBorder="1" applyAlignment="1" applyProtection="1">
      <alignment horizontal="center"/>
      <protection locked="0"/>
    </xf>
    <xf numFmtId="0" fontId="12" fillId="2" borderId="24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44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4" fillId="3" borderId="29" xfId="1" applyFont="1" applyFill="1" applyBorder="1" applyAlignment="1" applyProtection="1">
      <alignment horizontal="center"/>
      <protection locked="0"/>
    </xf>
    <xf numFmtId="169" fontId="11" fillId="2" borderId="26" xfId="1" applyNumberFormat="1" applyFont="1" applyFill="1" applyBorder="1" applyAlignment="1">
      <alignment horizontal="center"/>
    </xf>
    <xf numFmtId="169" fontId="11" fillId="2" borderId="27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11" fillId="2" borderId="30" xfId="1" applyFont="1" applyFill="1" applyBorder="1" applyAlignment="1">
      <alignment horizontal="center"/>
    </xf>
    <xf numFmtId="0" fontId="14" fillId="3" borderId="22" xfId="1" applyFont="1" applyFill="1" applyBorder="1" applyAlignment="1" applyProtection="1">
      <alignment horizontal="center"/>
      <protection locked="0"/>
    </xf>
    <xf numFmtId="169" fontId="11" fillId="2" borderId="31" xfId="1" applyNumberFormat="1" applyFont="1" applyFill="1" applyBorder="1" applyAlignment="1">
      <alignment horizontal="center"/>
    </xf>
    <xf numFmtId="169" fontId="11" fillId="2" borderId="23" xfId="1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/>
    </xf>
    <xf numFmtId="0" fontId="14" fillId="3" borderId="33" xfId="1" applyFont="1" applyFill="1" applyBorder="1" applyAlignment="1" applyProtection="1">
      <alignment horizontal="center"/>
      <protection locked="0"/>
    </xf>
    <xf numFmtId="169" fontId="11" fillId="2" borderId="34" xfId="1" applyNumberFormat="1" applyFont="1" applyFill="1" applyBorder="1" applyAlignment="1">
      <alignment horizontal="center"/>
    </xf>
    <xf numFmtId="169" fontId="11" fillId="2" borderId="35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30" xfId="1" applyFont="1" applyFill="1" applyBorder="1" applyAlignment="1">
      <alignment horizontal="right"/>
    </xf>
    <xf numFmtId="1" fontId="12" fillId="6" borderId="36" xfId="1" applyNumberFormat="1" applyFont="1" applyFill="1" applyBorder="1" applyAlignment="1">
      <alignment horizontal="center"/>
    </xf>
    <xf numFmtId="169" fontId="12" fillId="6" borderId="37" xfId="1" applyNumberFormat="1" applyFont="1" applyFill="1" applyBorder="1" applyAlignment="1">
      <alignment horizontal="center"/>
    </xf>
    <xf numFmtId="169" fontId="12" fillId="6" borderId="3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39" xfId="1" applyFont="1" applyFill="1" applyBorder="1" applyAlignment="1">
      <alignment horizontal="right"/>
    </xf>
    <xf numFmtId="0" fontId="14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0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0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66" fontId="14" fillId="3" borderId="40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69" fontId="12" fillId="7" borderId="13" xfId="1" applyNumberFormat="1" applyFont="1" applyFill="1" applyBorder="1" applyAlignment="1">
      <alignment horizontal="center"/>
    </xf>
    <xf numFmtId="169" fontId="11" fillId="2" borderId="0" xfId="1" applyNumberFormat="1" applyFont="1" applyFill="1" applyAlignment="1">
      <alignment horizontal="center"/>
    </xf>
    <xf numFmtId="10" fontId="11" fillId="6" borderId="40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4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2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4" fillId="3" borderId="22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4" fillId="3" borderId="42" xfId="1" applyFont="1" applyFill="1" applyBorder="1" applyAlignment="1" applyProtection="1">
      <alignment horizontal="center"/>
      <protection locked="0"/>
    </xf>
    <xf numFmtId="166" fontId="11" fillId="2" borderId="42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3" fillId="2" borderId="30" xfId="1" applyFont="1" applyFill="1" applyBorder="1" applyAlignment="1">
      <alignment horizontal="center"/>
    </xf>
    <xf numFmtId="2" fontId="13" fillId="2" borderId="43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2" fontId="14" fillId="7" borderId="32" xfId="1" applyNumberFormat="1" applyFont="1" applyFill="1" applyBorder="1" applyAlignment="1">
      <alignment horizontal="center"/>
    </xf>
    <xf numFmtId="173" fontId="14" fillId="7" borderId="32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10" fontId="14" fillId="6" borderId="5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4" fillId="7" borderId="52" xfId="1" applyFont="1" applyFill="1" applyBorder="1" applyAlignment="1">
      <alignment horizontal="center"/>
    </xf>
    <xf numFmtId="170" fontId="14" fillId="2" borderId="0" xfId="1" applyNumberFormat="1" applyFont="1" applyFill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1" fillId="2" borderId="46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69" fontId="14" fillId="3" borderId="33" xfId="1" applyNumberFormat="1" applyFont="1" applyFill="1" applyBorder="1" applyAlignment="1" applyProtection="1">
      <alignment horizontal="center"/>
      <protection locked="0"/>
    </xf>
    <xf numFmtId="1" fontId="12" fillId="6" borderId="53" xfId="1" applyNumberFormat="1" applyFont="1" applyFill="1" applyBorder="1" applyAlignment="1">
      <alignment horizontal="center"/>
    </xf>
    <xf numFmtId="1" fontId="12" fillId="6" borderId="47" xfId="1" applyNumberFormat="1" applyFont="1" applyFill="1" applyBorder="1" applyAlignment="1">
      <alignment horizontal="center"/>
    </xf>
    <xf numFmtId="169" fontId="12" fillId="6" borderId="15" xfId="1" applyNumberFormat="1" applyFont="1" applyFill="1" applyBorder="1" applyAlignment="1">
      <alignment horizontal="center"/>
    </xf>
    <xf numFmtId="0" fontId="11" fillId="2" borderId="54" xfId="1" applyFont="1" applyFill="1" applyBorder="1" applyAlignment="1">
      <alignment horizontal="right"/>
    </xf>
    <xf numFmtId="0" fontId="14" fillId="3" borderId="48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44" xfId="1" applyNumberFormat="1" applyFont="1" applyFill="1" applyBorder="1" applyAlignment="1">
      <alignment horizontal="center"/>
    </xf>
    <xf numFmtId="2" fontId="11" fillId="7" borderId="44" xfId="1" applyNumberFormat="1" applyFont="1" applyFill="1" applyBorder="1" applyAlignment="1">
      <alignment horizontal="center"/>
    </xf>
    <xf numFmtId="166" fontId="11" fillId="6" borderId="44" xfId="1" applyNumberFormat="1" applyFont="1" applyFill="1" applyBorder="1" applyAlignment="1">
      <alignment horizontal="center"/>
    </xf>
    <xf numFmtId="166" fontId="11" fillId="7" borderId="44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49" xfId="1" applyFont="1" applyFill="1" applyBorder="1" applyAlignment="1">
      <alignment horizontal="right"/>
    </xf>
    <xf numFmtId="2" fontId="11" fillId="7" borderId="27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69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0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4" xfId="1" applyFont="1" applyFill="1" applyBorder="1" applyAlignment="1">
      <alignment horizontal="center" wrapText="1"/>
    </xf>
    <xf numFmtId="1" fontId="14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4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30" xfId="1" applyNumberFormat="1" applyFont="1" applyFill="1" applyBorder="1" applyAlignment="1">
      <alignment horizontal="center"/>
    </xf>
    <xf numFmtId="1" fontId="14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3" xfId="1" applyNumberFormat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/>
    </xf>
    <xf numFmtId="169" fontId="11" fillId="2" borderId="16" xfId="1" applyNumberFormat="1" applyFont="1" applyFill="1" applyBorder="1" applyAlignment="1">
      <alignment horizontal="right"/>
    </xf>
    <xf numFmtId="2" fontId="14" fillId="7" borderId="50" xfId="1" applyNumberFormat="1" applyFont="1" applyFill="1" applyBorder="1" applyAlignment="1">
      <alignment horizontal="center"/>
    </xf>
    <xf numFmtId="170" fontId="14" fillId="7" borderId="48" xfId="1" applyNumberFormat="1" applyFont="1" applyFill="1" applyBorder="1" applyAlignment="1">
      <alignment horizontal="center"/>
    </xf>
    <xf numFmtId="0" fontId="11" fillId="2" borderId="22" xfId="1" applyFont="1" applyFill="1" applyBorder="1"/>
    <xf numFmtId="0" fontId="11" fillId="2" borderId="14" xfId="1" applyFont="1" applyFill="1" applyBorder="1" applyAlignment="1">
      <alignment horizontal="right"/>
    </xf>
    <xf numFmtId="10" fontId="14" fillId="6" borderId="44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4" fillId="7" borderId="28" xfId="1" applyFont="1" applyFill="1" applyBorder="1" applyAlignment="1">
      <alignment horizontal="center"/>
    </xf>
    <xf numFmtId="0" fontId="14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7" fillId="2" borderId="0" xfId="1" applyFont="1" applyFill="1" applyAlignment="1">
      <alignment horizontal="right" vertical="center" wrapText="1"/>
    </xf>
    <xf numFmtId="2" fontId="14" fillId="6" borderId="55" xfId="1" applyNumberFormat="1" applyFont="1" applyFill="1" applyBorder="1" applyAlignment="1">
      <alignment horizontal="center"/>
    </xf>
    <xf numFmtId="170" fontId="14" fillId="6" borderId="55" xfId="1" applyNumberFormat="1" applyFont="1" applyFill="1" applyBorder="1" applyAlignment="1">
      <alignment horizontal="center"/>
    </xf>
    <xf numFmtId="2" fontId="14" fillId="7" borderId="52" xfId="1" applyNumberFormat="1" applyFont="1" applyFill="1" applyBorder="1" applyAlignment="1">
      <alignment horizontal="center"/>
    </xf>
    <xf numFmtId="170" fontId="14" fillId="7" borderId="52" xfId="1" applyNumberFormat="1" applyFont="1" applyFill="1" applyBorder="1" applyAlignment="1">
      <alignment horizontal="center"/>
    </xf>
    <xf numFmtId="174" fontId="22" fillId="2" borderId="0" xfId="1" applyNumberFormat="1" applyFont="1" applyFill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18" xfId="1" applyFont="1" applyFill="1" applyBorder="1" applyAlignment="1">
      <alignment horizontal="left" vertical="center" wrapText="1"/>
    </xf>
    <xf numFmtId="0" fontId="17" fillId="2" borderId="19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18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8" xfId="1" applyFont="1" applyFill="1" applyBorder="1" applyAlignment="1">
      <alignment horizontal="justify" vertical="center" wrapText="1"/>
    </xf>
    <xf numFmtId="0" fontId="17" fillId="2" borderId="19" xfId="1" applyFont="1" applyFill="1" applyBorder="1" applyAlignment="1">
      <alignment horizontal="justify" vertical="center" wrapText="1"/>
    </xf>
    <xf numFmtId="0" fontId="17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5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10" fontId="21" fillId="2" borderId="14" xfId="1" applyNumberFormat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left" vertical="center" wrapText="1"/>
    </xf>
    <xf numFmtId="0" fontId="17" fillId="2" borderId="24" xfId="1" applyFont="1" applyFill="1" applyBorder="1" applyAlignment="1">
      <alignment horizontal="left" vertical="center" wrapText="1"/>
    </xf>
    <xf numFmtId="0" fontId="17" fillId="2" borderId="42" xfId="1" applyFont="1" applyFill="1" applyBorder="1" applyAlignment="1">
      <alignment horizontal="left" vertical="center" wrapText="1"/>
    </xf>
    <xf numFmtId="0" fontId="17" fillId="2" borderId="43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13" xfId="1" applyNumberFormat="1" applyFont="1" applyFill="1" applyBorder="1" applyAlignment="1" applyProtection="1">
      <alignment horizontal="center" vertical="center"/>
      <protection locked="0"/>
    </xf>
    <xf numFmtId="2" fontId="14" fillId="3" borderId="14" xfId="1" applyNumberFormat="1" applyFont="1" applyFill="1" applyBorder="1" applyAlignment="1" applyProtection="1">
      <alignment horizontal="center" vertical="center"/>
      <protection locked="0"/>
    </xf>
    <xf numFmtId="2" fontId="14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2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42" xfId="1" applyFont="1" applyFill="1" applyBorder="1" applyAlignment="1">
      <alignment horizontal="center" vertical="center" wrapText="1"/>
    </xf>
    <xf numFmtId="0" fontId="17" fillId="2" borderId="43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45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176" fontId="0" fillId="2" borderId="0" xfId="2" applyNumberFormat="1" applyFont="1" applyFill="1"/>
  </cellXfs>
  <cellStyles count="3">
    <cellStyle name="Normal" xfId="0" builtinId="0"/>
    <cellStyle name="Normal 2" xfId="1"/>
    <cellStyle name="Percent" xfId="2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7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809.93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100/100*10/20</f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57543229</v>
      </c>
      <c r="C24" s="18">
        <v>13868.7</v>
      </c>
      <c r="D24" s="19">
        <v>1.01</v>
      </c>
      <c r="E24" s="20">
        <v>15.4</v>
      </c>
    </row>
    <row r="25" spans="1:6" ht="16.5" customHeight="1" x14ac:dyDescent="0.3">
      <c r="A25" s="17">
        <v>2</v>
      </c>
      <c r="B25" s="18">
        <v>57692713</v>
      </c>
      <c r="C25" s="18">
        <v>13988.54</v>
      </c>
      <c r="D25" s="19">
        <v>1.03</v>
      </c>
      <c r="E25" s="19">
        <v>15.4</v>
      </c>
    </row>
    <row r="26" spans="1:6" ht="16.5" customHeight="1" x14ac:dyDescent="0.3">
      <c r="A26" s="17">
        <v>3</v>
      </c>
      <c r="B26" s="18">
        <v>57757312</v>
      </c>
      <c r="C26" s="18">
        <v>13956.48</v>
      </c>
      <c r="D26" s="19">
        <v>1.01</v>
      </c>
      <c r="E26" s="19">
        <v>15.41</v>
      </c>
    </row>
    <row r="27" spans="1:6" ht="16.5" customHeight="1" x14ac:dyDescent="0.3">
      <c r="A27" s="17">
        <v>4</v>
      </c>
      <c r="B27" s="18">
        <v>57746078</v>
      </c>
      <c r="C27" s="18">
        <v>13976.25</v>
      </c>
      <c r="D27" s="19">
        <v>1.03</v>
      </c>
      <c r="E27" s="19">
        <v>15.41</v>
      </c>
    </row>
    <row r="28" spans="1:6" ht="16.5" customHeight="1" x14ac:dyDescent="0.3">
      <c r="A28" s="17">
        <v>5</v>
      </c>
      <c r="B28" s="18">
        <v>57787804</v>
      </c>
      <c r="C28" s="18">
        <v>13953.3</v>
      </c>
      <c r="D28" s="19">
        <v>1.02</v>
      </c>
      <c r="E28" s="19">
        <v>15.42</v>
      </c>
    </row>
    <row r="29" spans="1:6" ht="16.5" customHeight="1" x14ac:dyDescent="0.3">
      <c r="A29" s="17">
        <v>6</v>
      </c>
      <c r="B29" s="21">
        <v>57754275</v>
      </c>
      <c r="C29" s="21">
        <v>13927.26</v>
      </c>
      <c r="D29" s="22">
        <v>1.02</v>
      </c>
      <c r="E29" s="22">
        <v>15.43</v>
      </c>
    </row>
    <row r="30" spans="1:6" ht="16.5" customHeight="1" x14ac:dyDescent="0.3">
      <c r="A30" s="23" t="s">
        <v>18</v>
      </c>
      <c r="B30" s="24">
        <f>AVERAGE(B24:B29)</f>
        <v>57713568.5</v>
      </c>
      <c r="C30" s="25">
        <f>AVERAGE(C24:C29)</f>
        <v>13945.088333333333</v>
      </c>
      <c r="D30" s="26">
        <f>AVERAGE(D24:D29)</f>
        <v>1.0199999999999998</v>
      </c>
      <c r="E30" s="26">
        <f>AVERAGE(E24:E29)</f>
        <v>15.411666666666667</v>
      </c>
    </row>
    <row r="31" spans="1:6" ht="16.5" customHeight="1" x14ac:dyDescent="0.3">
      <c r="A31" s="27" t="s">
        <v>19</v>
      </c>
      <c r="B31" s="28">
        <f>(STDEV(B24:B29)/B30)</f>
        <v>1.5417826991997352E-3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5" t="s">
        <v>26</v>
      </c>
      <c r="C59" s="2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9" t="s">
        <v>31</v>
      </c>
      <c r="B11" s="270"/>
      <c r="C11" s="270"/>
      <c r="D11" s="270"/>
      <c r="E11" s="270"/>
      <c r="F11" s="271"/>
      <c r="G11" s="91"/>
    </row>
    <row r="12" spans="1:7" ht="16.5" customHeight="1" x14ac:dyDescent="0.3">
      <c r="A12" s="268" t="s">
        <v>32</v>
      </c>
      <c r="B12" s="268"/>
      <c r="C12" s="268"/>
      <c r="D12" s="268"/>
      <c r="E12" s="268"/>
      <c r="F12" s="268"/>
      <c r="G12" s="90"/>
    </row>
    <row r="14" spans="1:7" ht="16.5" customHeight="1" x14ac:dyDescent="0.3">
      <c r="A14" s="273" t="s">
        <v>33</v>
      </c>
      <c r="B14" s="273"/>
      <c r="C14" s="60" t="s">
        <v>5</v>
      </c>
    </row>
    <row r="15" spans="1:7" ht="16.5" customHeight="1" x14ac:dyDescent="0.3">
      <c r="A15" s="273" t="s">
        <v>34</v>
      </c>
      <c r="B15" s="273"/>
      <c r="C15" s="60" t="s">
        <v>7</v>
      </c>
    </row>
    <row r="16" spans="1:7" ht="16.5" customHeight="1" x14ac:dyDescent="0.3">
      <c r="A16" s="273" t="s">
        <v>35</v>
      </c>
      <c r="B16" s="273"/>
      <c r="C16" s="60" t="s">
        <v>9</v>
      </c>
    </row>
    <row r="17" spans="1:5" ht="16.5" customHeight="1" x14ac:dyDescent="0.3">
      <c r="A17" s="273" t="s">
        <v>36</v>
      </c>
      <c r="B17" s="273"/>
      <c r="C17" s="60" t="s">
        <v>11</v>
      </c>
    </row>
    <row r="18" spans="1:5" ht="16.5" customHeight="1" x14ac:dyDescent="0.3">
      <c r="A18" s="273" t="s">
        <v>37</v>
      </c>
      <c r="B18" s="273"/>
      <c r="C18" s="97" t="s">
        <v>12</v>
      </c>
    </row>
    <row r="19" spans="1:5" ht="16.5" customHeight="1" x14ac:dyDescent="0.3">
      <c r="A19" s="273" t="s">
        <v>38</v>
      </c>
      <c r="B19" s="2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8" t="s">
        <v>1</v>
      </c>
      <c r="B21" s="268"/>
      <c r="C21" s="59" t="s">
        <v>39</v>
      </c>
      <c r="D21" s="66"/>
    </row>
    <row r="22" spans="1:5" ht="15.75" customHeight="1" x14ac:dyDescent="0.3">
      <c r="A22" s="272"/>
      <c r="B22" s="272"/>
      <c r="C22" s="57"/>
      <c r="D22" s="272"/>
      <c r="E22" s="2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835.16</v>
      </c>
      <c r="D24" s="87">
        <f t="shared" ref="D24:D43" si="0">(C24-$C$46)/$C$46</f>
        <v>1.4425771924252193E-2</v>
      </c>
      <c r="E24" s="53"/>
    </row>
    <row r="25" spans="1:5" ht="15.75" customHeight="1" x14ac:dyDescent="0.3">
      <c r="C25" s="95">
        <v>814.67</v>
      </c>
      <c r="D25" s="88">
        <f t="shared" si="0"/>
        <v>-1.0462374139649261E-2</v>
      </c>
      <c r="E25" s="53"/>
    </row>
    <row r="26" spans="1:5" ht="15.75" customHeight="1" x14ac:dyDescent="0.3">
      <c r="C26" s="95">
        <v>826.46</v>
      </c>
      <c r="D26" s="88">
        <f t="shared" si="0"/>
        <v>3.8583306965342397E-3</v>
      </c>
      <c r="E26" s="53"/>
    </row>
    <row r="27" spans="1:5" ht="15.75" customHeight="1" x14ac:dyDescent="0.3">
      <c r="C27" s="95">
        <v>820.12</v>
      </c>
      <c r="D27" s="88">
        <f t="shared" si="0"/>
        <v>-3.8425402671131946E-3</v>
      </c>
      <c r="E27" s="53"/>
    </row>
    <row r="28" spans="1:5" ht="15.75" customHeight="1" x14ac:dyDescent="0.3">
      <c r="C28" s="95">
        <v>822.56</v>
      </c>
      <c r="D28" s="88">
        <f t="shared" si="0"/>
        <v>-8.7879812968430027E-4</v>
      </c>
      <c r="E28" s="53"/>
    </row>
    <row r="29" spans="1:5" ht="15.75" customHeight="1" x14ac:dyDescent="0.3">
      <c r="C29" s="95">
        <v>835.66</v>
      </c>
      <c r="D29" s="88">
        <f t="shared" si="0"/>
        <v>1.5033096132741735E-2</v>
      </c>
      <c r="E29" s="53"/>
    </row>
    <row r="30" spans="1:5" ht="15.75" customHeight="1" x14ac:dyDescent="0.3">
      <c r="C30" s="95">
        <v>824.65</v>
      </c>
      <c r="D30" s="88">
        <f t="shared" si="0"/>
        <v>1.6598170618020251E-3</v>
      </c>
      <c r="E30" s="53"/>
    </row>
    <row r="31" spans="1:5" ht="15.75" customHeight="1" x14ac:dyDescent="0.3">
      <c r="C31" s="95">
        <v>816.79</v>
      </c>
      <c r="D31" s="88">
        <f t="shared" si="0"/>
        <v>-7.8873194956535966E-3</v>
      </c>
      <c r="E31" s="53"/>
    </row>
    <row r="32" spans="1:5" ht="15.75" customHeight="1" x14ac:dyDescent="0.3">
      <c r="C32" s="95">
        <v>819.5</v>
      </c>
      <c r="D32" s="88">
        <f t="shared" si="0"/>
        <v>-4.5956222856402325E-3</v>
      </c>
      <c r="E32" s="53"/>
    </row>
    <row r="33" spans="1:7" ht="15.75" customHeight="1" x14ac:dyDescent="0.3">
      <c r="C33" s="95">
        <v>831.98</v>
      </c>
      <c r="D33" s="88">
        <f t="shared" si="0"/>
        <v>1.0563189958258765E-2</v>
      </c>
      <c r="E33" s="53"/>
    </row>
    <row r="34" spans="1:7" ht="15.75" customHeight="1" x14ac:dyDescent="0.3">
      <c r="C34" s="95">
        <v>834.53</v>
      </c>
      <c r="D34" s="88">
        <f t="shared" si="0"/>
        <v>1.3660543421555375E-2</v>
      </c>
      <c r="E34" s="53"/>
    </row>
    <row r="35" spans="1:7" ht="15.75" customHeight="1" x14ac:dyDescent="0.3">
      <c r="C35" s="95">
        <v>815.91</v>
      </c>
      <c r="D35" s="88">
        <f t="shared" si="0"/>
        <v>-8.956210102595185E-3</v>
      </c>
      <c r="E35" s="53"/>
    </row>
    <row r="36" spans="1:7" ht="15.75" customHeight="1" x14ac:dyDescent="0.3">
      <c r="C36" s="95">
        <v>822.33</v>
      </c>
      <c r="D36" s="88">
        <f t="shared" si="0"/>
        <v>-1.1581672655893737E-3</v>
      </c>
      <c r="E36" s="53"/>
    </row>
    <row r="37" spans="1:7" ht="15.75" customHeight="1" x14ac:dyDescent="0.3">
      <c r="C37" s="95">
        <v>825.1</v>
      </c>
      <c r="D37" s="88">
        <f t="shared" si="0"/>
        <v>2.2064088494426685E-3</v>
      </c>
      <c r="E37" s="53"/>
    </row>
    <row r="38" spans="1:7" ht="15.75" customHeight="1" x14ac:dyDescent="0.3">
      <c r="C38" s="95">
        <v>816.58</v>
      </c>
      <c r="D38" s="88">
        <f t="shared" si="0"/>
        <v>-8.14239566321911E-3</v>
      </c>
      <c r="E38" s="53"/>
    </row>
    <row r="39" spans="1:7" ht="15.75" customHeight="1" x14ac:dyDescent="0.3">
      <c r="C39" s="95">
        <v>820.13</v>
      </c>
      <c r="D39" s="88">
        <f t="shared" si="0"/>
        <v>-3.830393782943415E-3</v>
      </c>
      <c r="E39" s="53"/>
    </row>
    <row r="40" spans="1:7" ht="15.75" customHeight="1" x14ac:dyDescent="0.3">
      <c r="C40" s="95">
        <v>829.9</v>
      </c>
      <c r="D40" s="88">
        <f t="shared" si="0"/>
        <v>8.0367212509422185E-3</v>
      </c>
      <c r="E40" s="53"/>
    </row>
    <row r="41" spans="1:7" ht="15.75" customHeight="1" x14ac:dyDescent="0.3">
      <c r="C41" s="95">
        <v>818.83</v>
      </c>
      <c r="D41" s="88">
        <f t="shared" si="0"/>
        <v>-5.4094367250161696E-3</v>
      </c>
      <c r="E41" s="53"/>
    </row>
    <row r="42" spans="1:7" ht="15.75" customHeight="1" x14ac:dyDescent="0.3">
      <c r="C42" s="95">
        <v>827.73</v>
      </c>
      <c r="D42" s="88">
        <f t="shared" si="0"/>
        <v>5.4009341860976551E-3</v>
      </c>
      <c r="E42" s="53"/>
    </row>
    <row r="43" spans="1:7" ht="16.5" customHeight="1" x14ac:dyDescent="0.3">
      <c r="C43" s="96">
        <v>807.08</v>
      </c>
      <c r="D43" s="89">
        <f t="shared" si="0"/>
        <v>-1.9681555624520414E-2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16465.669999999998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823.28349999999989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6">
        <f>C46</f>
        <v>823.28349999999989</v>
      </c>
      <c r="C49" s="93">
        <f>-IF(C46&lt;=80,10%,IF(C46&lt;250,7.5%,5%))</f>
        <v>-0.05</v>
      </c>
      <c r="D49" s="81">
        <f>IF(C46&lt;=80,C46*0.9,IF(C46&lt;250,C46*0.925,C46*0.95))</f>
        <v>782.11932499999989</v>
      </c>
    </row>
    <row r="50" spans="1:6" ht="17.25" customHeight="1" x14ac:dyDescent="0.3">
      <c r="B50" s="267"/>
      <c r="C50" s="94">
        <f>IF(C46&lt;=80, 10%, IF(C46&lt;250, 7.5%, 5%))</f>
        <v>0.05</v>
      </c>
      <c r="D50" s="81">
        <f>IF(C46&lt;=80, C46*1.1, IF(C46&lt;250, C46*1.075, C46*1.05))</f>
        <v>864.44767499999989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2" zoomScale="60" zoomScaleNormal="40" zoomScalePageLayoutView="50" workbookViewId="0">
      <selection activeCell="B58" sqref="B58"/>
    </sheetView>
  </sheetViews>
  <sheetFormatPr defaultColWidth="9.140625"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30" style="98" customWidth="1"/>
    <col min="9" max="9" width="30.28515625" style="98" hidden="1" customWidth="1"/>
    <col min="10" max="10" width="30.42578125" style="98" customWidth="1"/>
    <col min="11" max="11" width="21.28515625" style="98" customWidth="1"/>
    <col min="12" max="12" width="9.140625" style="98"/>
    <col min="13" max="16384" width="9.140625" style="100"/>
  </cols>
  <sheetData>
    <row r="1" spans="1:9" ht="18.75" customHeight="1" x14ac:dyDescent="0.25">
      <c r="A1" s="277" t="s">
        <v>45</v>
      </c>
      <c r="B1" s="277"/>
      <c r="C1" s="277"/>
      <c r="D1" s="277"/>
      <c r="E1" s="277"/>
      <c r="F1" s="277"/>
      <c r="G1" s="277"/>
      <c r="H1" s="277"/>
      <c r="I1" s="277"/>
    </row>
    <row r="2" spans="1:9" ht="18.75" customHeight="1" x14ac:dyDescent="0.25">
      <c r="A2" s="277"/>
      <c r="B2" s="277"/>
      <c r="C2" s="277"/>
      <c r="D2" s="277"/>
      <c r="E2" s="277"/>
      <c r="F2" s="277"/>
      <c r="G2" s="277"/>
      <c r="H2" s="277"/>
      <c r="I2" s="277"/>
    </row>
    <row r="3" spans="1:9" ht="18.75" customHeight="1" x14ac:dyDescent="0.25">
      <c r="A3" s="277"/>
      <c r="B3" s="277"/>
      <c r="C3" s="277"/>
      <c r="D3" s="277"/>
      <c r="E3" s="277"/>
      <c r="F3" s="277"/>
      <c r="G3" s="277"/>
      <c r="H3" s="277"/>
      <c r="I3" s="277"/>
    </row>
    <row r="4" spans="1:9" ht="18.75" customHeight="1" x14ac:dyDescent="0.25">
      <c r="A4" s="277"/>
      <c r="B4" s="277"/>
      <c r="C4" s="277"/>
      <c r="D4" s="277"/>
      <c r="E4" s="277"/>
      <c r="F4" s="277"/>
      <c r="G4" s="277"/>
      <c r="H4" s="277"/>
      <c r="I4" s="277"/>
    </row>
    <row r="5" spans="1:9" ht="18.75" customHeight="1" x14ac:dyDescent="0.25">
      <c r="A5" s="277"/>
      <c r="B5" s="277"/>
      <c r="C5" s="277"/>
      <c r="D5" s="277"/>
      <c r="E5" s="277"/>
      <c r="F5" s="277"/>
      <c r="G5" s="277"/>
      <c r="H5" s="277"/>
      <c r="I5" s="277"/>
    </row>
    <row r="6" spans="1:9" ht="18.75" customHeight="1" x14ac:dyDescent="0.25">
      <c r="A6" s="277"/>
      <c r="B6" s="277"/>
      <c r="C6" s="277"/>
      <c r="D6" s="277"/>
      <c r="E6" s="277"/>
      <c r="F6" s="277"/>
      <c r="G6" s="277"/>
      <c r="H6" s="277"/>
      <c r="I6" s="277"/>
    </row>
    <row r="7" spans="1:9" ht="18.75" customHeight="1" x14ac:dyDescent="0.25">
      <c r="A7" s="277"/>
      <c r="B7" s="277"/>
      <c r="C7" s="277"/>
      <c r="D7" s="277"/>
      <c r="E7" s="277"/>
      <c r="F7" s="277"/>
      <c r="G7" s="277"/>
      <c r="H7" s="277"/>
      <c r="I7" s="277"/>
    </row>
    <row r="8" spans="1:9" x14ac:dyDescent="0.25">
      <c r="A8" s="278" t="s">
        <v>46</v>
      </c>
      <c r="B8" s="278"/>
      <c r="C8" s="278"/>
      <c r="D8" s="278"/>
      <c r="E8" s="278"/>
      <c r="F8" s="278"/>
      <c r="G8" s="278"/>
      <c r="H8" s="278"/>
      <c r="I8" s="278"/>
    </row>
    <row r="9" spans="1:9" x14ac:dyDescent="0.25">
      <c r="A9" s="278"/>
      <c r="B9" s="278"/>
      <c r="C9" s="278"/>
      <c r="D9" s="278"/>
      <c r="E9" s="278"/>
      <c r="F9" s="278"/>
      <c r="G9" s="278"/>
      <c r="H9" s="278"/>
      <c r="I9" s="278"/>
    </row>
    <row r="10" spans="1:9" x14ac:dyDescent="0.25">
      <c r="A10" s="278"/>
      <c r="B10" s="278"/>
      <c r="C10" s="278"/>
      <c r="D10" s="278"/>
      <c r="E10" s="278"/>
      <c r="F10" s="278"/>
      <c r="G10" s="278"/>
      <c r="H10" s="278"/>
      <c r="I10" s="278"/>
    </row>
    <row r="11" spans="1:9" x14ac:dyDescent="0.25">
      <c r="A11" s="278"/>
      <c r="B11" s="278"/>
      <c r="C11" s="278"/>
      <c r="D11" s="278"/>
      <c r="E11" s="278"/>
      <c r="F11" s="278"/>
      <c r="G11" s="278"/>
      <c r="H11" s="278"/>
      <c r="I11" s="278"/>
    </row>
    <row r="12" spans="1:9" x14ac:dyDescent="0.25">
      <c r="A12" s="278"/>
      <c r="B12" s="278"/>
      <c r="C12" s="278"/>
      <c r="D12" s="278"/>
      <c r="E12" s="278"/>
      <c r="F12" s="278"/>
      <c r="G12" s="278"/>
      <c r="H12" s="278"/>
      <c r="I12" s="278"/>
    </row>
    <row r="13" spans="1:9" x14ac:dyDescent="0.25">
      <c r="A13" s="278"/>
      <c r="B13" s="278"/>
      <c r="C13" s="278"/>
      <c r="D13" s="278"/>
      <c r="E13" s="278"/>
      <c r="F13" s="278"/>
      <c r="G13" s="278"/>
      <c r="H13" s="278"/>
      <c r="I13" s="278"/>
    </row>
    <row r="14" spans="1:9" x14ac:dyDescent="0.25">
      <c r="A14" s="278"/>
      <c r="B14" s="278"/>
      <c r="C14" s="278"/>
      <c r="D14" s="278"/>
      <c r="E14" s="278"/>
      <c r="F14" s="278"/>
      <c r="G14" s="278"/>
      <c r="H14" s="278"/>
      <c r="I14" s="278"/>
    </row>
    <row r="15" spans="1:9" ht="19.5" customHeight="1" thickBot="1" x14ac:dyDescent="0.35">
      <c r="A15" s="99"/>
    </row>
    <row r="16" spans="1:9" ht="19.5" customHeight="1" thickBot="1" x14ac:dyDescent="0.35">
      <c r="A16" s="279" t="s">
        <v>31</v>
      </c>
      <c r="B16" s="280"/>
      <c r="C16" s="280"/>
      <c r="D16" s="280"/>
      <c r="E16" s="280"/>
      <c r="F16" s="280"/>
      <c r="G16" s="280"/>
      <c r="H16" s="281"/>
    </row>
    <row r="17" spans="1:14" ht="20.25" customHeight="1" x14ac:dyDescent="0.25">
      <c r="A17" s="282" t="s">
        <v>47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">
      <c r="A18" s="101" t="s">
        <v>33</v>
      </c>
      <c r="B18" s="283" t="s">
        <v>132</v>
      </c>
      <c r="C18" s="283"/>
      <c r="D18" s="102"/>
      <c r="E18" s="103"/>
      <c r="F18" s="104"/>
      <c r="G18" s="104"/>
      <c r="H18" s="104"/>
    </row>
    <row r="19" spans="1:14" ht="26.25" customHeight="1" x14ac:dyDescent="0.4">
      <c r="A19" s="101" t="s">
        <v>34</v>
      </c>
      <c r="B19" s="105" t="s">
        <v>133</v>
      </c>
      <c r="C19" s="104">
        <v>1</v>
      </c>
      <c r="D19" s="104"/>
      <c r="E19" s="104"/>
      <c r="F19" s="104"/>
      <c r="G19" s="104"/>
      <c r="H19" s="104"/>
    </row>
    <row r="20" spans="1:14" ht="26.25" customHeight="1" x14ac:dyDescent="0.4">
      <c r="A20" s="101" t="s">
        <v>35</v>
      </c>
      <c r="B20" s="283" t="s">
        <v>9</v>
      </c>
      <c r="C20" s="283"/>
      <c r="D20" s="104"/>
      <c r="E20" s="104"/>
      <c r="F20" s="104"/>
      <c r="G20" s="104"/>
      <c r="H20" s="104"/>
    </row>
    <row r="21" spans="1:14" ht="26.25" customHeight="1" x14ac:dyDescent="0.4">
      <c r="A21" s="101" t="s">
        <v>36</v>
      </c>
      <c r="B21" s="284" t="s">
        <v>11</v>
      </c>
      <c r="C21" s="284"/>
      <c r="D21" s="284"/>
      <c r="E21" s="284"/>
      <c r="F21" s="284"/>
      <c r="G21" s="284"/>
      <c r="H21" s="284"/>
      <c r="I21" s="106"/>
    </row>
    <row r="22" spans="1:14" ht="26.25" customHeight="1" x14ac:dyDescent="0.4">
      <c r="A22" s="101" t="s">
        <v>37</v>
      </c>
      <c r="B22" s="107">
        <v>43080</v>
      </c>
      <c r="C22" s="104"/>
      <c r="D22" s="104"/>
      <c r="E22" s="104"/>
      <c r="F22" s="104"/>
      <c r="G22" s="104"/>
      <c r="H22" s="104"/>
    </row>
    <row r="23" spans="1:14" ht="26.25" customHeight="1" x14ac:dyDescent="0.4">
      <c r="A23" s="101" t="s">
        <v>38</v>
      </c>
      <c r="B23" s="107">
        <v>43084</v>
      </c>
      <c r="C23" s="104"/>
      <c r="D23" s="104"/>
      <c r="E23" s="104"/>
      <c r="F23" s="104"/>
      <c r="G23" s="104"/>
      <c r="H23" s="104"/>
    </row>
    <row r="24" spans="1:14" ht="18.75" x14ac:dyDescent="0.3">
      <c r="A24" s="101"/>
      <c r="B24" s="108"/>
    </row>
    <row r="25" spans="1:14" ht="18.75" x14ac:dyDescent="0.3">
      <c r="A25" s="109" t="s">
        <v>1</v>
      </c>
      <c r="B25" s="108"/>
    </row>
    <row r="26" spans="1:14" ht="26.25" customHeight="1" x14ac:dyDescent="0.4">
      <c r="A26" s="110" t="s">
        <v>4</v>
      </c>
      <c r="B26" s="283" t="s">
        <v>9</v>
      </c>
      <c r="C26" s="283"/>
    </row>
    <row r="27" spans="1:14" ht="26.25" customHeight="1" x14ac:dyDescent="0.4">
      <c r="A27" s="111" t="s">
        <v>48</v>
      </c>
      <c r="B27" s="285" t="s">
        <v>131</v>
      </c>
      <c r="C27" s="285"/>
    </row>
    <row r="28" spans="1:14" ht="27" customHeight="1" thickBot="1" x14ac:dyDescent="0.45">
      <c r="A28" s="111" t="s">
        <v>6</v>
      </c>
      <c r="B28" s="112">
        <v>99.4</v>
      </c>
    </row>
    <row r="29" spans="1:14" s="114" customFormat="1" ht="27" customHeight="1" thickBot="1" x14ac:dyDescent="0.45">
      <c r="A29" s="111" t="s">
        <v>49</v>
      </c>
      <c r="B29" s="113">
        <v>0</v>
      </c>
      <c r="C29" s="286" t="s">
        <v>89</v>
      </c>
      <c r="D29" s="287"/>
      <c r="E29" s="287"/>
      <c r="F29" s="287"/>
      <c r="G29" s="288"/>
      <c r="I29" s="115"/>
      <c r="J29" s="115"/>
      <c r="K29" s="115"/>
      <c r="L29" s="115"/>
    </row>
    <row r="30" spans="1:14" s="114" customFormat="1" ht="19.5" customHeight="1" thickBot="1" x14ac:dyDescent="0.35">
      <c r="A30" s="111" t="s">
        <v>50</v>
      </c>
      <c r="B30" s="116">
        <f>B28-B29</f>
        <v>99.4</v>
      </c>
      <c r="C30" s="117"/>
      <c r="D30" s="117"/>
      <c r="E30" s="117"/>
      <c r="F30" s="117"/>
      <c r="G30" s="118"/>
      <c r="I30" s="115"/>
      <c r="J30" s="115"/>
      <c r="K30" s="115"/>
      <c r="L30" s="115"/>
    </row>
    <row r="31" spans="1:14" s="114" customFormat="1" ht="27" customHeight="1" thickBot="1" x14ac:dyDescent="0.45">
      <c r="A31" s="111" t="s">
        <v>51</v>
      </c>
      <c r="B31" s="119">
        <v>1</v>
      </c>
      <c r="C31" s="274" t="s">
        <v>52</v>
      </c>
      <c r="D31" s="275"/>
      <c r="E31" s="275"/>
      <c r="F31" s="275"/>
      <c r="G31" s="275"/>
      <c r="H31" s="276"/>
      <c r="I31" s="115"/>
      <c r="J31" s="115"/>
      <c r="K31" s="115"/>
      <c r="L31" s="115"/>
    </row>
    <row r="32" spans="1:14" s="114" customFormat="1" ht="27" customHeight="1" thickBot="1" x14ac:dyDescent="0.45">
      <c r="A32" s="111" t="s">
        <v>53</v>
      </c>
      <c r="B32" s="119">
        <v>1</v>
      </c>
      <c r="C32" s="274" t="s">
        <v>54</v>
      </c>
      <c r="D32" s="275"/>
      <c r="E32" s="275"/>
      <c r="F32" s="275"/>
      <c r="G32" s="275"/>
      <c r="H32" s="276"/>
      <c r="I32" s="115"/>
      <c r="J32" s="115"/>
      <c r="K32" s="115"/>
      <c r="L32" s="120"/>
      <c r="M32" s="120"/>
      <c r="N32" s="121"/>
    </row>
    <row r="33" spans="1:14" s="114" customFormat="1" ht="17.25" customHeight="1" x14ac:dyDescent="0.3">
      <c r="A33" s="111"/>
      <c r="B33" s="122"/>
      <c r="C33" s="123"/>
      <c r="D33" s="123"/>
      <c r="E33" s="123"/>
      <c r="F33" s="123"/>
      <c r="G33" s="123"/>
      <c r="H33" s="123"/>
      <c r="I33" s="115"/>
      <c r="J33" s="115"/>
      <c r="K33" s="115"/>
      <c r="L33" s="120"/>
      <c r="M33" s="120"/>
      <c r="N33" s="121"/>
    </row>
    <row r="34" spans="1:14" s="114" customFormat="1" ht="18.75" x14ac:dyDescent="0.3">
      <c r="A34" s="111" t="s">
        <v>55</v>
      </c>
      <c r="B34" s="124">
        <f>B31/B32</f>
        <v>1</v>
      </c>
      <c r="C34" s="99" t="s">
        <v>56</v>
      </c>
      <c r="D34" s="99"/>
      <c r="E34" s="99"/>
      <c r="F34" s="99"/>
      <c r="G34" s="99"/>
      <c r="I34" s="115"/>
      <c r="J34" s="115"/>
      <c r="K34" s="115"/>
      <c r="L34" s="120"/>
      <c r="M34" s="120"/>
      <c r="N34" s="121"/>
    </row>
    <row r="35" spans="1:14" s="114" customFormat="1" ht="19.5" customHeight="1" thickBot="1" x14ac:dyDescent="0.35">
      <c r="A35" s="111"/>
      <c r="B35" s="116"/>
      <c r="G35" s="99"/>
      <c r="I35" s="115"/>
      <c r="J35" s="115"/>
      <c r="K35" s="115"/>
      <c r="L35" s="120"/>
      <c r="M35" s="120"/>
      <c r="N35" s="121"/>
    </row>
    <row r="36" spans="1:14" s="114" customFormat="1" ht="27" customHeight="1" thickBot="1" x14ac:dyDescent="0.45">
      <c r="A36" s="125" t="s">
        <v>104</v>
      </c>
      <c r="B36" s="126">
        <v>20</v>
      </c>
      <c r="C36" s="99"/>
      <c r="D36" s="290" t="s">
        <v>57</v>
      </c>
      <c r="E36" s="291"/>
      <c r="F36" s="290" t="s">
        <v>58</v>
      </c>
      <c r="G36" s="292"/>
      <c r="J36" s="115"/>
      <c r="K36" s="115"/>
      <c r="L36" s="120"/>
      <c r="M36" s="120"/>
      <c r="N36" s="121"/>
    </row>
    <row r="37" spans="1:14" s="114" customFormat="1" ht="27" customHeight="1" thickBot="1" x14ac:dyDescent="0.45">
      <c r="A37" s="127" t="s">
        <v>59</v>
      </c>
      <c r="B37" s="128">
        <v>1</v>
      </c>
      <c r="C37" s="129" t="s">
        <v>60</v>
      </c>
      <c r="D37" s="130" t="s">
        <v>61</v>
      </c>
      <c r="E37" s="131" t="s">
        <v>62</v>
      </c>
      <c r="F37" s="130" t="s">
        <v>61</v>
      </c>
      <c r="G37" s="132" t="s">
        <v>62</v>
      </c>
      <c r="I37" s="133" t="s">
        <v>105</v>
      </c>
      <c r="J37" s="115"/>
      <c r="K37" s="115"/>
      <c r="L37" s="120"/>
      <c r="M37" s="120"/>
      <c r="N37" s="121"/>
    </row>
    <row r="38" spans="1:14" s="114" customFormat="1" ht="26.25" customHeight="1" x14ac:dyDescent="0.4">
      <c r="A38" s="127" t="s">
        <v>63</v>
      </c>
      <c r="B38" s="128">
        <v>1</v>
      </c>
      <c r="C38" s="134">
        <v>1</v>
      </c>
      <c r="D38" s="135">
        <v>68954437</v>
      </c>
      <c r="E38" s="136">
        <f>IF(ISBLANK(D38),"-",$D$48/$D$45*D38)</f>
        <v>59648031.78486222</v>
      </c>
      <c r="F38" s="135">
        <v>62890730</v>
      </c>
      <c r="G38" s="137">
        <f>IF(ISBLANK(F38),"-",$D$48/$F$45*F38)</f>
        <v>59915106.167306855</v>
      </c>
      <c r="I38" s="138"/>
      <c r="J38" s="115"/>
      <c r="K38" s="115"/>
      <c r="L38" s="120"/>
      <c r="M38" s="120"/>
      <c r="N38" s="121"/>
    </row>
    <row r="39" spans="1:14" s="114" customFormat="1" ht="26.25" customHeight="1" x14ac:dyDescent="0.4">
      <c r="A39" s="127" t="s">
        <v>64</v>
      </c>
      <c r="B39" s="128">
        <v>1</v>
      </c>
      <c r="C39" s="139">
        <v>2</v>
      </c>
      <c r="D39" s="140">
        <v>68848783</v>
      </c>
      <c r="E39" s="141">
        <f>IF(ISBLANK(D39),"-",$D$48/$D$45*D39)</f>
        <v>59556637.330431424</v>
      </c>
      <c r="F39" s="140">
        <v>62667611</v>
      </c>
      <c r="G39" s="142">
        <f>IF(ISBLANK(F39),"-",$D$48/$F$45*F39)</f>
        <v>59702543.861654766</v>
      </c>
      <c r="I39" s="293">
        <f>ABS((F43/D43*D42)-F42)/D42</f>
        <v>2.807794664542763E-3</v>
      </c>
      <c r="J39" s="115"/>
      <c r="K39" s="115"/>
      <c r="L39" s="120"/>
      <c r="M39" s="120"/>
      <c r="N39" s="121"/>
    </row>
    <row r="40" spans="1:14" ht="26.25" customHeight="1" x14ac:dyDescent="0.4">
      <c r="A40" s="127" t="s">
        <v>65</v>
      </c>
      <c r="B40" s="128">
        <v>1</v>
      </c>
      <c r="C40" s="139">
        <v>3</v>
      </c>
      <c r="D40" s="140">
        <v>69171314</v>
      </c>
      <c r="E40" s="141">
        <f>IF(ISBLANK(D40),"-",$D$48/$D$45*D40)</f>
        <v>59835638.076091975</v>
      </c>
      <c r="F40" s="140">
        <v>62954966</v>
      </c>
      <c r="G40" s="142">
        <f>IF(ISBLANK(F40),"-",$D$48/$F$45*F40)</f>
        <v>59976302.893116258</v>
      </c>
      <c r="I40" s="293"/>
      <c r="L40" s="120"/>
      <c r="M40" s="120"/>
      <c r="N40" s="99"/>
    </row>
    <row r="41" spans="1:14" ht="27" customHeight="1" thickBot="1" x14ac:dyDescent="0.45">
      <c r="A41" s="127" t="s">
        <v>66</v>
      </c>
      <c r="B41" s="128">
        <v>1</v>
      </c>
      <c r="C41" s="143">
        <v>4</v>
      </c>
      <c r="D41" s="144"/>
      <c r="E41" s="145" t="str">
        <f>IF(ISBLANK(D41),"-",$D$48/$D$45*D41)</f>
        <v>-</v>
      </c>
      <c r="F41" s="144"/>
      <c r="G41" s="146" t="str">
        <f>IF(ISBLANK(F41),"-",$D$48/$F$45*F41)</f>
        <v>-</v>
      </c>
      <c r="I41" s="147"/>
      <c r="L41" s="120"/>
      <c r="M41" s="120"/>
      <c r="N41" s="99"/>
    </row>
    <row r="42" spans="1:14" ht="27" customHeight="1" thickBot="1" x14ac:dyDescent="0.45">
      <c r="A42" s="127" t="s">
        <v>67</v>
      </c>
      <c r="B42" s="128">
        <v>1</v>
      </c>
      <c r="C42" s="148" t="s">
        <v>68</v>
      </c>
      <c r="D42" s="149">
        <f>AVERAGE(D38:D41)</f>
        <v>68991511.333333328</v>
      </c>
      <c r="E42" s="150">
        <f>AVERAGE(E38:E41)</f>
        <v>59680102.397128545</v>
      </c>
      <c r="F42" s="149">
        <f>AVERAGE(F38:F41)</f>
        <v>62837769</v>
      </c>
      <c r="G42" s="151">
        <f>AVERAGE(G38:G41)</f>
        <v>59864650.974025965</v>
      </c>
      <c r="H42" s="152"/>
    </row>
    <row r="43" spans="1:14" ht="26.25" customHeight="1" x14ac:dyDescent="0.4">
      <c r="A43" s="127" t="s">
        <v>69</v>
      </c>
      <c r="B43" s="128">
        <v>1</v>
      </c>
      <c r="C43" s="153" t="s">
        <v>106</v>
      </c>
      <c r="D43" s="154">
        <v>11.63</v>
      </c>
      <c r="E43" s="99"/>
      <c r="F43" s="154">
        <v>10.56</v>
      </c>
      <c r="H43" s="152"/>
    </row>
    <row r="44" spans="1:14" ht="26.25" customHeight="1" x14ac:dyDescent="0.4">
      <c r="A44" s="127" t="s">
        <v>71</v>
      </c>
      <c r="B44" s="128">
        <v>1</v>
      </c>
      <c r="C44" s="155" t="s">
        <v>107</v>
      </c>
      <c r="D44" s="156">
        <f>D43*$B$34</f>
        <v>11.63</v>
      </c>
      <c r="E44" s="157"/>
      <c r="F44" s="156">
        <f>F43*$B$34</f>
        <v>10.56</v>
      </c>
      <c r="H44" s="152"/>
    </row>
    <row r="45" spans="1:14" ht="19.5" customHeight="1" thickBot="1" x14ac:dyDescent="0.35">
      <c r="A45" s="127" t="s">
        <v>73</v>
      </c>
      <c r="B45" s="139">
        <f>(B44/B43)*(B42/B41)*(B40/B39)*(B38/B37)*B36</f>
        <v>20</v>
      </c>
      <c r="C45" s="155" t="s">
        <v>74</v>
      </c>
      <c r="D45" s="158">
        <f>D44*$B$30/100</f>
        <v>11.560220000000001</v>
      </c>
      <c r="E45" s="159"/>
      <c r="F45" s="158">
        <f>F44*$B$30/100</f>
        <v>10.496640000000003</v>
      </c>
      <c r="H45" s="152"/>
    </row>
    <row r="46" spans="1:14" ht="19.5" customHeight="1" thickBot="1" x14ac:dyDescent="0.35">
      <c r="A46" s="294" t="s">
        <v>75</v>
      </c>
      <c r="B46" s="295"/>
      <c r="C46" s="155" t="s">
        <v>76</v>
      </c>
      <c r="D46" s="160">
        <f>D45/$B$45</f>
        <v>0.57801100000000005</v>
      </c>
      <c r="E46" s="161"/>
      <c r="F46" s="162">
        <f>F45/$B$45</f>
        <v>0.52483200000000019</v>
      </c>
      <c r="H46" s="152"/>
    </row>
    <row r="47" spans="1:14" ht="27" customHeight="1" thickBot="1" x14ac:dyDescent="0.45">
      <c r="A47" s="296"/>
      <c r="B47" s="297"/>
      <c r="C47" s="163" t="s">
        <v>108</v>
      </c>
      <c r="D47" s="164">
        <v>0.5</v>
      </c>
      <c r="E47" s="165"/>
      <c r="F47" s="161"/>
      <c r="H47" s="152"/>
    </row>
    <row r="48" spans="1:14" ht="18.75" x14ac:dyDescent="0.3">
      <c r="C48" s="166" t="s">
        <v>77</v>
      </c>
      <c r="D48" s="158">
        <f>D47*$B$45</f>
        <v>10</v>
      </c>
      <c r="F48" s="167"/>
      <c r="H48" s="152"/>
    </row>
    <row r="49" spans="1:12" ht="19.5" customHeight="1" thickBot="1" x14ac:dyDescent="0.35">
      <c r="C49" s="168" t="s">
        <v>78</v>
      </c>
      <c r="D49" s="169">
        <f>D48/B34</f>
        <v>10</v>
      </c>
      <c r="F49" s="167"/>
      <c r="H49" s="152"/>
    </row>
    <row r="50" spans="1:12" ht="18.75" x14ac:dyDescent="0.3">
      <c r="C50" s="125" t="s">
        <v>79</v>
      </c>
      <c r="D50" s="170">
        <f>AVERAGE(E38:E41,G38:G41)</f>
        <v>59772376.685577244</v>
      </c>
      <c r="F50" s="171"/>
      <c r="H50" s="152"/>
    </row>
    <row r="51" spans="1:12" ht="18.75" x14ac:dyDescent="0.3">
      <c r="C51" s="127" t="s">
        <v>80</v>
      </c>
      <c r="D51" s="172">
        <f>STDEV(E38:E41,G38:G41)/D50</f>
        <v>2.7269747660205955E-3</v>
      </c>
      <c r="F51" s="171"/>
      <c r="H51" s="152"/>
    </row>
    <row r="52" spans="1:12" ht="19.5" customHeight="1" thickBot="1" x14ac:dyDescent="0.35">
      <c r="C52" s="173" t="s">
        <v>20</v>
      </c>
      <c r="D52" s="174">
        <f>COUNT(E38:E41,G38:G41)</f>
        <v>6</v>
      </c>
      <c r="F52" s="171"/>
    </row>
    <row r="54" spans="1:12" ht="18.75" x14ac:dyDescent="0.3">
      <c r="A54" s="175" t="s">
        <v>1</v>
      </c>
      <c r="B54" s="176" t="s">
        <v>81</v>
      </c>
    </row>
    <row r="55" spans="1:12" ht="18.75" x14ac:dyDescent="0.3">
      <c r="A55" s="99" t="s">
        <v>82</v>
      </c>
      <c r="B55" s="177" t="str">
        <f>B21</f>
        <v>Each film-coated tablet contains  Ritonavir 100 mg.</v>
      </c>
    </row>
    <row r="56" spans="1:12" ht="26.25" customHeight="1" x14ac:dyDescent="0.4">
      <c r="A56" s="177" t="s">
        <v>83</v>
      </c>
      <c r="B56" s="178">
        <v>100</v>
      </c>
      <c r="C56" s="99" t="str">
        <f>B20</f>
        <v>Ritonavir</v>
      </c>
      <c r="H56" s="157"/>
    </row>
    <row r="57" spans="1:12" ht="18.75" x14ac:dyDescent="0.3">
      <c r="A57" s="177" t="s">
        <v>84</v>
      </c>
      <c r="B57" s="179">
        <f>Uniformity!C46</f>
        <v>823.28349999999989</v>
      </c>
      <c r="H57" s="157"/>
    </row>
    <row r="58" spans="1:12" ht="19.5" customHeight="1" thickBot="1" x14ac:dyDescent="0.35">
      <c r="H58" s="157"/>
    </row>
    <row r="59" spans="1:12" s="114" customFormat="1" ht="27" customHeight="1" thickBot="1" x14ac:dyDescent="0.45">
      <c r="A59" s="125" t="s">
        <v>109</v>
      </c>
      <c r="B59" s="126">
        <v>100</v>
      </c>
      <c r="C59" s="99"/>
      <c r="D59" s="180" t="s">
        <v>110</v>
      </c>
      <c r="E59" s="181" t="s">
        <v>60</v>
      </c>
      <c r="F59" s="181" t="s">
        <v>61</v>
      </c>
      <c r="G59" s="181" t="s">
        <v>111</v>
      </c>
      <c r="H59" s="129" t="s">
        <v>112</v>
      </c>
      <c r="L59" s="115"/>
    </row>
    <row r="60" spans="1:12" s="114" customFormat="1" ht="26.25" customHeight="1" x14ac:dyDescent="0.4">
      <c r="A60" s="127" t="s">
        <v>113</v>
      </c>
      <c r="B60" s="128">
        <v>10</v>
      </c>
      <c r="C60" s="298" t="s">
        <v>114</v>
      </c>
      <c r="D60" s="301">
        <v>833.67</v>
      </c>
      <c r="E60" s="182">
        <v>1</v>
      </c>
      <c r="F60" s="183">
        <v>60033633</v>
      </c>
      <c r="G60" s="184">
        <f>IF(ISBLANK(F60),"-",(F60/$D$50*$D$47*$B$68)*($B$57/$D$60))</f>
        <v>99.185763160577309</v>
      </c>
      <c r="H60" s="185">
        <f t="shared" ref="H60:H71" si="0">IF(ISBLANK(F60),"-",(G60/$B$56)*100)</f>
        <v>99.185763160577309</v>
      </c>
      <c r="L60" s="115"/>
    </row>
    <row r="61" spans="1:12" s="114" customFormat="1" ht="26.25" customHeight="1" x14ac:dyDescent="0.4">
      <c r="A61" s="127" t="s">
        <v>94</v>
      </c>
      <c r="B61" s="128">
        <v>20</v>
      </c>
      <c r="C61" s="299"/>
      <c r="D61" s="302"/>
      <c r="E61" s="186">
        <v>2</v>
      </c>
      <c r="F61" s="140">
        <v>60050646</v>
      </c>
      <c r="G61" s="187">
        <f>IF(ISBLANK(F61),"-",(F61/$D$50*$D$47*$B$68)*($B$57/$D$60))</f>
        <v>99.213871527576373</v>
      </c>
      <c r="H61" s="188">
        <f t="shared" si="0"/>
        <v>99.213871527576373</v>
      </c>
      <c r="L61" s="115"/>
    </row>
    <row r="62" spans="1:12" s="114" customFormat="1" ht="26.25" customHeight="1" x14ac:dyDescent="0.4">
      <c r="A62" s="127" t="s">
        <v>95</v>
      </c>
      <c r="B62" s="128">
        <v>1</v>
      </c>
      <c r="C62" s="299"/>
      <c r="D62" s="302"/>
      <c r="E62" s="186">
        <v>3</v>
      </c>
      <c r="F62" s="189">
        <v>60161904</v>
      </c>
      <c r="G62" s="187">
        <f>IF(ISBLANK(F62),"-",(F62/$D$50*$D$47*$B$68)*($B$57/$D$60))</f>
        <v>99.39768864951732</v>
      </c>
      <c r="H62" s="188">
        <f t="shared" si="0"/>
        <v>99.39768864951732</v>
      </c>
      <c r="L62" s="115"/>
    </row>
    <row r="63" spans="1:12" ht="27" customHeight="1" thickBot="1" x14ac:dyDescent="0.45">
      <c r="A63" s="127" t="s">
        <v>96</v>
      </c>
      <c r="B63" s="128">
        <v>1</v>
      </c>
      <c r="C63" s="300"/>
      <c r="D63" s="303"/>
      <c r="E63" s="190">
        <v>4</v>
      </c>
      <c r="F63" s="191"/>
      <c r="G63" s="187" t="str">
        <f>IF(ISBLANK(F63),"-",(F63/$D$50*$D$47*$B$68)*($B$57/$D$60))</f>
        <v>-</v>
      </c>
      <c r="H63" s="188" t="str">
        <f t="shared" si="0"/>
        <v>-</v>
      </c>
    </row>
    <row r="64" spans="1:12" ht="26.25" customHeight="1" x14ac:dyDescent="0.4">
      <c r="A64" s="127" t="s">
        <v>97</v>
      </c>
      <c r="B64" s="128">
        <v>1</v>
      </c>
      <c r="C64" s="298" t="s">
        <v>115</v>
      </c>
      <c r="D64" s="301">
        <v>829.55</v>
      </c>
      <c r="E64" s="182">
        <v>1</v>
      </c>
      <c r="F64" s="183">
        <v>59223694</v>
      </c>
      <c r="G64" s="184">
        <f>IF(ISBLANK(F64),"-",(F64/$D$50*$D$47*$B$68)*($B$57/$D$64))</f>
        <v>98.333571146547371</v>
      </c>
      <c r="H64" s="185">
        <f t="shared" si="0"/>
        <v>98.333571146547371</v>
      </c>
    </row>
    <row r="65" spans="1:8" ht="26.25" customHeight="1" x14ac:dyDescent="0.4">
      <c r="A65" s="127" t="s">
        <v>98</v>
      </c>
      <c r="B65" s="128">
        <v>1</v>
      </c>
      <c r="C65" s="299"/>
      <c r="D65" s="302"/>
      <c r="E65" s="186">
        <v>2</v>
      </c>
      <c r="F65" s="140">
        <v>59128696</v>
      </c>
      <c r="G65" s="187">
        <f>IF(ISBLANK(F65),"-",(F65/$D$50*$D$47*$B$68)*($B$57/$D$64))</f>
        <v>98.175838793820773</v>
      </c>
      <c r="H65" s="188">
        <f t="shared" si="0"/>
        <v>98.175838793820773</v>
      </c>
    </row>
    <row r="66" spans="1:8" ht="26.25" customHeight="1" x14ac:dyDescent="0.4">
      <c r="A66" s="127" t="s">
        <v>99</v>
      </c>
      <c r="B66" s="128">
        <v>1</v>
      </c>
      <c r="C66" s="299"/>
      <c r="D66" s="302"/>
      <c r="E66" s="186">
        <v>3</v>
      </c>
      <c r="F66" s="140">
        <v>59226972</v>
      </c>
      <c r="G66" s="187">
        <f>IF(ISBLANK(F66),"-",(F66/$D$50*$D$47*$B$68)*($B$57/$D$64))</f>
        <v>98.339013857470093</v>
      </c>
      <c r="H66" s="188">
        <f t="shared" si="0"/>
        <v>98.339013857470093</v>
      </c>
    </row>
    <row r="67" spans="1:8" ht="27" customHeight="1" thickBot="1" x14ac:dyDescent="0.45">
      <c r="A67" s="127" t="s">
        <v>100</v>
      </c>
      <c r="B67" s="128">
        <v>1</v>
      </c>
      <c r="C67" s="300"/>
      <c r="D67" s="303"/>
      <c r="E67" s="190">
        <v>4</v>
      </c>
      <c r="F67" s="191"/>
      <c r="G67" s="192" t="str">
        <f>IF(ISBLANK(F67),"-",(F67/$D$50*$D$47*$B$68)*($B$57/$D$64))</f>
        <v>-</v>
      </c>
      <c r="H67" s="193" t="str">
        <f t="shared" si="0"/>
        <v>-</v>
      </c>
    </row>
    <row r="68" spans="1:8" ht="26.25" customHeight="1" x14ac:dyDescent="0.4">
      <c r="A68" s="127" t="s">
        <v>101</v>
      </c>
      <c r="B68" s="194">
        <f>(B67/B66)*(B65/B64)*(B63/B62)*(B61/B60)*B59</f>
        <v>200</v>
      </c>
      <c r="C68" s="298" t="s">
        <v>116</v>
      </c>
      <c r="D68" s="301">
        <v>825.6</v>
      </c>
      <c r="E68" s="182">
        <v>1</v>
      </c>
      <c r="F68" s="183">
        <v>59526297</v>
      </c>
      <c r="G68" s="184">
        <f>IF(ISBLANK(F68),"-",(F68/$D$50*$D$47*$B$68)*($B$57/$D$68))</f>
        <v>99.308876666414989</v>
      </c>
      <c r="H68" s="188">
        <f t="shared" si="0"/>
        <v>99.308876666414989</v>
      </c>
    </row>
    <row r="69" spans="1:8" ht="27" customHeight="1" thickBot="1" x14ac:dyDescent="0.45">
      <c r="A69" s="173" t="s">
        <v>117</v>
      </c>
      <c r="B69" s="195">
        <f>(D47*B68)/B56*B57</f>
        <v>823.28349999999989</v>
      </c>
      <c r="C69" s="299"/>
      <c r="D69" s="302"/>
      <c r="E69" s="186">
        <v>2</v>
      </c>
      <c r="F69" s="140">
        <v>59527036</v>
      </c>
      <c r="G69" s="187">
        <f>IF(ISBLANK(F69),"-",(F69/$D$50*$D$47*$B$68)*($B$57/$D$68))</f>
        <v>99.310109554458677</v>
      </c>
      <c r="H69" s="188">
        <f t="shared" si="0"/>
        <v>99.310109554458677</v>
      </c>
    </row>
    <row r="70" spans="1:8" ht="26.25" customHeight="1" x14ac:dyDescent="0.4">
      <c r="A70" s="305" t="s">
        <v>75</v>
      </c>
      <c r="B70" s="306"/>
      <c r="C70" s="299"/>
      <c r="D70" s="302"/>
      <c r="E70" s="186">
        <v>3</v>
      </c>
      <c r="F70" s="140">
        <v>59434230</v>
      </c>
      <c r="G70" s="187">
        <f>IF(ISBLANK(F70),"-",(F70/$D$50*$D$47*$B$68)*($B$57/$D$68))</f>
        <v>99.155279503331798</v>
      </c>
      <c r="H70" s="188">
        <f t="shared" si="0"/>
        <v>99.155279503331798</v>
      </c>
    </row>
    <row r="71" spans="1:8" ht="27" customHeight="1" thickBot="1" x14ac:dyDescent="0.45">
      <c r="A71" s="307"/>
      <c r="B71" s="308"/>
      <c r="C71" s="304"/>
      <c r="D71" s="303"/>
      <c r="E71" s="190">
        <v>4</v>
      </c>
      <c r="F71" s="191"/>
      <c r="G71" s="192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57"/>
      <c r="B72" s="157"/>
      <c r="C72" s="157"/>
      <c r="D72" s="157"/>
      <c r="E72" s="157"/>
      <c r="F72" s="196" t="s">
        <v>68</v>
      </c>
      <c r="G72" s="197">
        <f>AVERAGE(G60:G71)</f>
        <v>98.935556984412756</v>
      </c>
      <c r="H72" s="198">
        <f>AVERAGE(H60:H71)</f>
        <v>98.935556984412756</v>
      </c>
    </row>
    <row r="73" spans="1:8" ht="26.25" customHeight="1" x14ac:dyDescent="0.4">
      <c r="C73" s="157"/>
      <c r="D73" s="157"/>
      <c r="E73" s="157"/>
      <c r="F73" s="199" t="s">
        <v>80</v>
      </c>
      <c r="G73" s="200">
        <f>STDEV(G60:G71)/G72</f>
        <v>5.024632824396167E-3</v>
      </c>
      <c r="H73" s="200">
        <f>STDEV(H60:H71)/H72</f>
        <v>5.024632824396167E-3</v>
      </c>
    </row>
    <row r="74" spans="1:8" ht="27" customHeight="1" thickBot="1" x14ac:dyDescent="0.45">
      <c r="A74" s="157"/>
      <c r="B74" s="157"/>
      <c r="C74" s="157"/>
      <c r="D74" s="157"/>
      <c r="E74" s="159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10" t="s">
        <v>118</v>
      </c>
      <c r="B76" s="111" t="s">
        <v>85</v>
      </c>
      <c r="C76" s="289" t="str">
        <f>B26</f>
        <v>Ritonavir</v>
      </c>
      <c r="D76" s="289"/>
      <c r="E76" s="99" t="s">
        <v>86</v>
      </c>
      <c r="F76" s="99"/>
      <c r="G76" s="203">
        <f>H72</f>
        <v>98.935556984412756</v>
      </c>
      <c r="H76" s="116"/>
    </row>
    <row r="77" spans="1:8" ht="18.75" x14ac:dyDescent="0.3">
      <c r="A77" s="109" t="s">
        <v>87</v>
      </c>
      <c r="B77" s="109" t="s">
        <v>88</v>
      </c>
    </row>
    <row r="78" spans="1:8" ht="18.75" x14ac:dyDescent="0.3">
      <c r="A78" s="109"/>
      <c r="B78" s="109"/>
    </row>
    <row r="79" spans="1:8" ht="26.25" customHeight="1" x14ac:dyDescent="0.4">
      <c r="A79" s="110" t="s">
        <v>4</v>
      </c>
      <c r="B79" s="310" t="str">
        <f>B26</f>
        <v>Ritonavir</v>
      </c>
      <c r="C79" s="310"/>
    </row>
    <row r="80" spans="1:8" ht="26.25" customHeight="1" x14ac:dyDescent="0.4">
      <c r="A80" s="111" t="s">
        <v>48</v>
      </c>
      <c r="B80" s="310" t="str">
        <f>B27</f>
        <v>R6-1</v>
      </c>
      <c r="C80" s="310"/>
    </row>
    <row r="81" spans="1:12" ht="27" customHeight="1" thickBot="1" x14ac:dyDescent="0.45">
      <c r="A81" s="111" t="s">
        <v>6</v>
      </c>
      <c r="B81" s="112">
        <f>B28</f>
        <v>99.4</v>
      </c>
    </row>
    <row r="82" spans="1:12" s="114" customFormat="1" ht="27" customHeight="1" thickBot="1" x14ac:dyDescent="0.45">
      <c r="A82" s="111" t="s">
        <v>49</v>
      </c>
      <c r="B82" s="113">
        <v>0</v>
      </c>
      <c r="C82" s="286" t="s">
        <v>89</v>
      </c>
      <c r="D82" s="287"/>
      <c r="E82" s="287"/>
      <c r="F82" s="287"/>
      <c r="G82" s="288"/>
      <c r="I82" s="115"/>
      <c r="J82" s="115"/>
      <c r="K82" s="115"/>
      <c r="L82" s="115"/>
    </row>
    <row r="83" spans="1:12" s="114" customFormat="1" ht="19.5" customHeight="1" thickBot="1" x14ac:dyDescent="0.35">
      <c r="A83" s="111" t="s">
        <v>50</v>
      </c>
      <c r="B83" s="116">
        <f>B81-B82</f>
        <v>99.4</v>
      </c>
      <c r="C83" s="117"/>
      <c r="D83" s="117"/>
      <c r="E83" s="117"/>
      <c r="F83" s="117"/>
      <c r="G83" s="118"/>
      <c r="I83" s="115"/>
      <c r="J83" s="115"/>
      <c r="K83" s="115"/>
      <c r="L83" s="115"/>
    </row>
    <row r="84" spans="1:12" s="114" customFormat="1" ht="27" customHeight="1" thickBot="1" x14ac:dyDescent="0.45">
      <c r="A84" s="111" t="s">
        <v>51</v>
      </c>
      <c r="B84" s="119">
        <v>1</v>
      </c>
      <c r="C84" s="274" t="s">
        <v>119</v>
      </c>
      <c r="D84" s="275"/>
      <c r="E84" s="275"/>
      <c r="F84" s="275"/>
      <c r="G84" s="275"/>
      <c r="H84" s="276"/>
      <c r="I84" s="115"/>
      <c r="J84" s="115"/>
      <c r="K84" s="115"/>
      <c r="L84" s="115"/>
    </row>
    <row r="85" spans="1:12" s="114" customFormat="1" ht="27" customHeight="1" thickBot="1" x14ac:dyDescent="0.45">
      <c r="A85" s="111" t="s">
        <v>53</v>
      </c>
      <c r="B85" s="119">
        <v>1</v>
      </c>
      <c r="C85" s="274" t="s">
        <v>120</v>
      </c>
      <c r="D85" s="275"/>
      <c r="E85" s="275"/>
      <c r="F85" s="275"/>
      <c r="G85" s="275"/>
      <c r="H85" s="276"/>
      <c r="I85" s="115"/>
      <c r="J85" s="115"/>
      <c r="K85" s="115"/>
      <c r="L85" s="115"/>
    </row>
    <row r="86" spans="1:12" s="114" customFormat="1" ht="18.75" x14ac:dyDescent="0.3">
      <c r="A86" s="111"/>
      <c r="B86" s="122"/>
      <c r="C86" s="123"/>
      <c r="D86" s="123"/>
      <c r="E86" s="123"/>
      <c r="F86" s="123"/>
      <c r="G86" s="123"/>
      <c r="H86" s="123"/>
      <c r="I86" s="115"/>
      <c r="J86" s="115"/>
      <c r="K86" s="115"/>
      <c r="L86" s="115"/>
    </row>
    <row r="87" spans="1:12" s="114" customFormat="1" ht="18.75" x14ac:dyDescent="0.3">
      <c r="A87" s="111" t="s">
        <v>55</v>
      </c>
      <c r="B87" s="124">
        <f>B84/B85</f>
        <v>1</v>
      </c>
      <c r="C87" s="99" t="s">
        <v>56</v>
      </c>
      <c r="D87" s="99"/>
      <c r="E87" s="99"/>
      <c r="F87" s="99"/>
      <c r="G87" s="99"/>
      <c r="I87" s="115"/>
      <c r="J87" s="115"/>
      <c r="K87" s="115"/>
      <c r="L87" s="115"/>
    </row>
    <row r="88" spans="1:12" ht="19.5" customHeight="1" thickBot="1" x14ac:dyDescent="0.35">
      <c r="A88" s="109"/>
      <c r="B88" s="109"/>
    </row>
    <row r="89" spans="1:12" ht="27" customHeight="1" thickBot="1" x14ac:dyDescent="0.45">
      <c r="A89" s="125" t="s">
        <v>104</v>
      </c>
      <c r="B89" s="126">
        <v>20</v>
      </c>
      <c r="D89" s="204" t="s">
        <v>57</v>
      </c>
      <c r="E89" s="205"/>
      <c r="F89" s="290" t="s">
        <v>58</v>
      </c>
      <c r="G89" s="292"/>
    </row>
    <row r="90" spans="1:12" ht="27" customHeight="1" thickBot="1" x14ac:dyDescent="0.45">
      <c r="A90" s="127" t="s">
        <v>59</v>
      </c>
      <c r="B90" s="128">
        <v>2</v>
      </c>
      <c r="C90" s="206" t="s">
        <v>60</v>
      </c>
      <c r="D90" s="130" t="s">
        <v>61</v>
      </c>
      <c r="E90" s="131" t="s">
        <v>62</v>
      </c>
      <c r="F90" s="130" t="s">
        <v>61</v>
      </c>
      <c r="G90" s="207" t="s">
        <v>62</v>
      </c>
      <c r="I90" s="133" t="s">
        <v>105</v>
      </c>
    </row>
    <row r="91" spans="1:12" ht="26.25" customHeight="1" x14ac:dyDescent="0.4">
      <c r="A91" s="127" t="s">
        <v>63</v>
      </c>
      <c r="B91" s="128">
        <v>10</v>
      </c>
      <c r="C91" s="208">
        <v>1</v>
      </c>
      <c r="D91" s="135">
        <v>13916010</v>
      </c>
      <c r="E91" s="136">
        <f>IF(ISBLANK(D91),"-",$D$101/$D$98*D91)</f>
        <v>13375379.822644666</v>
      </c>
      <c r="F91" s="135">
        <v>12966139</v>
      </c>
      <c r="G91" s="137">
        <f>IF(ISBLANK(F91),"-",$D$101/$F$98*F91)</f>
        <v>13725174.066283217</v>
      </c>
      <c r="I91" s="138"/>
    </row>
    <row r="92" spans="1:12" ht="26.25" customHeight="1" x14ac:dyDescent="0.4">
      <c r="A92" s="127" t="s">
        <v>64</v>
      </c>
      <c r="B92" s="128">
        <v>1</v>
      </c>
      <c r="C92" s="157">
        <v>2</v>
      </c>
      <c r="D92" s="140">
        <v>13908486</v>
      </c>
      <c r="E92" s="141">
        <f>IF(ISBLANK(D92),"-",$D$101/$D$98*D92)</f>
        <v>13368148.126362069</v>
      </c>
      <c r="F92" s="140">
        <v>12921943</v>
      </c>
      <c r="G92" s="142">
        <f>IF(ISBLANK(F92),"-",$D$101/$F$98*F92)</f>
        <v>13678390.84168309</v>
      </c>
      <c r="I92" s="293">
        <f>ABS((F96/D96*D95)-F95)/D95</f>
        <v>2.255724955082973E-2</v>
      </c>
    </row>
    <row r="93" spans="1:12" ht="26.25" customHeight="1" x14ac:dyDescent="0.4">
      <c r="A93" s="127" t="s">
        <v>65</v>
      </c>
      <c r="B93" s="128">
        <v>1</v>
      </c>
      <c r="C93" s="157">
        <v>3</v>
      </c>
      <c r="D93" s="140">
        <v>13872752</v>
      </c>
      <c r="E93" s="141">
        <f>IF(ISBLANK(D93),"-",$D$101/$D$98*D93)</f>
        <v>13333802.374772182</v>
      </c>
      <c r="F93" s="140">
        <v>12913451</v>
      </c>
      <c r="G93" s="142">
        <f>IF(ISBLANK(F93),"-",$D$101/$F$98*F93)</f>
        <v>13669401.721778477</v>
      </c>
      <c r="I93" s="293"/>
    </row>
    <row r="94" spans="1:12" ht="27" customHeight="1" thickBot="1" x14ac:dyDescent="0.45">
      <c r="A94" s="127" t="s">
        <v>66</v>
      </c>
      <c r="B94" s="128">
        <v>1</v>
      </c>
      <c r="C94" s="209">
        <v>4</v>
      </c>
      <c r="D94" s="144"/>
      <c r="E94" s="145" t="str">
        <f>IF(ISBLANK(D94),"-",$D$101/$D$98*D94)</f>
        <v>-</v>
      </c>
      <c r="F94" s="210"/>
      <c r="G94" s="146" t="str">
        <f>IF(ISBLANK(F94),"-",$D$101/$F$98*F94)</f>
        <v>-</v>
      </c>
      <c r="I94" s="147"/>
    </row>
    <row r="95" spans="1:12" ht="27" customHeight="1" thickBot="1" x14ac:dyDescent="0.45">
      <c r="A95" s="127" t="s">
        <v>67</v>
      </c>
      <c r="B95" s="128">
        <v>1</v>
      </c>
      <c r="C95" s="111" t="s">
        <v>68</v>
      </c>
      <c r="D95" s="211">
        <f>AVERAGE(D91:D94)</f>
        <v>13899082.666666666</v>
      </c>
      <c r="E95" s="150">
        <f>AVERAGE(E91:E94)</f>
        <v>13359110.107926307</v>
      </c>
      <c r="F95" s="212">
        <f>AVERAGE(F91:F94)</f>
        <v>12933844.333333334</v>
      </c>
      <c r="G95" s="213">
        <f>AVERAGE(G91:G94)</f>
        <v>13690988.876581594</v>
      </c>
    </row>
    <row r="96" spans="1:12" ht="26.25" customHeight="1" x14ac:dyDescent="0.4">
      <c r="A96" s="127" t="s">
        <v>69</v>
      </c>
      <c r="B96" s="112">
        <v>1</v>
      </c>
      <c r="C96" s="214" t="s">
        <v>70</v>
      </c>
      <c r="D96" s="215">
        <v>11.63</v>
      </c>
      <c r="E96" s="99"/>
      <c r="F96" s="154">
        <v>10.56</v>
      </c>
    </row>
    <row r="97" spans="1:10" ht="26.25" customHeight="1" x14ac:dyDescent="0.4">
      <c r="A97" s="127" t="s">
        <v>71</v>
      </c>
      <c r="B97" s="112">
        <v>1</v>
      </c>
      <c r="C97" s="216" t="s">
        <v>72</v>
      </c>
      <c r="D97" s="217">
        <f>D96*$B$87</f>
        <v>11.63</v>
      </c>
      <c r="E97" s="157"/>
      <c r="F97" s="156">
        <f>F96*$B$87</f>
        <v>10.56</v>
      </c>
    </row>
    <row r="98" spans="1:10" ht="19.5" customHeight="1" thickBot="1" x14ac:dyDescent="0.35">
      <c r="A98" s="127" t="s">
        <v>73</v>
      </c>
      <c r="B98" s="157">
        <f>(B97/B96)*(B95/B94)*(B93/B92)*(B91/B90)*B89</f>
        <v>100</v>
      </c>
      <c r="C98" s="216" t="s">
        <v>121</v>
      </c>
      <c r="D98" s="218">
        <f>D97*$B$83/100</f>
        <v>11.560220000000001</v>
      </c>
      <c r="E98" s="159"/>
      <c r="F98" s="158">
        <f>F97*$B$83/100</f>
        <v>10.496640000000003</v>
      </c>
    </row>
    <row r="99" spans="1:10" ht="19.5" customHeight="1" thickBot="1" x14ac:dyDescent="0.35">
      <c r="A99" s="294" t="s">
        <v>75</v>
      </c>
      <c r="B99" s="311"/>
      <c r="C99" s="216" t="s">
        <v>122</v>
      </c>
      <c r="D99" s="219">
        <f>D98/$B$98</f>
        <v>0.11560220000000002</v>
      </c>
      <c r="E99" s="159"/>
      <c r="F99" s="162">
        <f>F98/$B$98</f>
        <v>0.10496640000000003</v>
      </c>
      <c r="H99" s="152"/>
    </row>
    <row r="100" spans="1:10" ht="19.5" customHeight="1" thickBot="1" x14ac:dyDescent="0.35">
      <c r="A100" s="296"/>
      <c r="B100" s="312"/>
      <c r="C100" s="216" t="s">
        <v>108</v>
      </c>
      <c r="D100" s="220">
        <f>$B$56/$B$116</f>
        <v>0.1111111111111111</v>
      </c>
      <c r="F100" s="167"/>
      <c r="G100" s="221"/>
      <c r="H100" s="152"/>
    </row>
    <row r="101" spans="1:10" ht="18.75" x14ac:dyDescent="0.3">
      <c r="C101" s="216" t="s">
        <v>77</v>
      </c>
      <c r="D101" s="217">
        <f>D100*$B$98</f>
        <v>11.111111111111111</v>
      </c>
      <c r="F101" s="167"/>
      <c r="H101" s="152"/>
    </row>
    <row r="102" spans="1:10" ht="19.5" customHeight="1" thickBot="1" x14ac:dyDescent="0.35">
      <c r="C102" s="222" t="s">
        <v>78</v>
      </c>
      <c r="D102" s="223">
        <f>D101/B34</f>
        <v>11.111111111111111</v>
      </c>
      <c r="F102" s="171"/>
      <c r="H102" s="152"/>
      <c r="J102" s="224"/>
    </row>
    <row r="103" spans="1:10" ht="18.75" x14ac:dyDescent="0.3">
      <c r="C103" s="225" t="s">
        <v>123</v>
      </c>
      <c r="D103" s="226">
        <f>AVERAGE(E91:E94,G91:G94)</f>
        <v>13525049.492253952</v>
      </c>
      <c r="F103" s="171"/>
      <c r="G103" s="221"/>
      <c r="H103" s="152"/>
      <c r="J103" s="227"/>
    </row>
    <row r="104" spans="1:10" ht="18.75" x14ac:dyDescent="0.3">
      <c r="C104" s="199" t="s">
        <v>80</v>
      </c>
      <c r="D104" s="228">
        <f>STDEV(E91:E94,G91:G94)/D103</f>
        <v>1.3552672550500128E-2</v>
      </c>
      <c r="F104" s="171"/>
      <c r="H104" s="152"/>
      <c r="J104" s="227"/>
    </row>
    <row r="105" spans="1:10" ht="19.5" customHeight="1" thickBot="1" x14ac:dyDescent="0.35">
      <c r="C105" s="201" t="s">
        <v>20</v>
      </c>
      <c r="D105" s="229">
        <f>COUNT(E91:E94,G91:G94)</f>
        <v>6</v>
      </c>
      <c r="F105" s="171"/>
      <c r="H105" s="152"/>
      <c r="J105" s="227"/>
    </row>
    <row r="106" spans="1:10" ht="19.5" customHeight="1" thickBot="1" x14ac:dyDescent="0.35">
      <c r="A106" s="175"/>
      <c r="B106" s="175"/>
      <c r="C106" s="175"/>
      <c r="D106" s="175"/>
      <c r="E106" s="175"/>
    </row>
    <row r="107" spans="1:10" ht="27" customHeight="1" thickBot="1" x14ac:dyDescent="0.45">
      <c r="A107" s="125" t="s">
        <v>90</v>
      </c>
      <c r="B107" s="126">
        <v>900</v>
      </c>
      <c r="C107" s="181" t="s">
        <v>124</v>
      </c>
      <c r="D107" s="181" t="s">
        <v>61</v>
      </c>
      <c r="E107" s="181" t="s">
        <v>91</v>
      </c>
      <c r="F107" s="230" t="s">
        <v>92</v>
      </c>
    </row>
    <row r="108" spans="1:10" ht="26.25" customHeight="1" x14ac:dyDescent="0.4">
      <c r="A108" s="127" t="s">
        <v>93</v>
      </c>
      <c r="B108" s="128">
        <v>1</v>
      </c>
      <c r="C108" s="182">
        <v>1</v>
      </c>
      <c r="D108" s="231">
        <v>13140469</v>
      </c>
      <c r="E108" s="232">
        <f t="shared" ref="E108:E113" si="1">IF(ISBLANK(D108),"-",D108/$D$103*$D$100*$B$116)</f>
        <v>97.156531719353723</v>
      </c>
      <c r="F108" s="233">
        <f t="shared" ref="F108:F113" si="2">IF(ISBLANK(D108), "-", (E108/$B$56)*100)</f>
        <v>97.156531719353723</v>
      </c>
    </row>
    <row r="109" spans="1:10" ht="26.25" customHeight="1" x14ac:dyDescent="0.4">
      <c r="A109" s="127" t="s">
        <v>94</v>
      </c>
      <c r="B109" s="128">
        <v>1</v>
      </c>
      <c r="C109" s="186">
        <v>2</v>
      </c>
      <c r="D109" s="234">
        <v>13183274</v>
      </c>
      <c r="E109" s="235">
        <f t="shared" si="1"/>
        <v>97.473018546440855</v>
      </c>
      <c r="F109" s="236">
        <f t="shared" si="2"/>
        <v>97.473018546440855</v>
      </c>
    </row>
    <row r="110" spans="1:10" ht="26.25" customHeight="1" x14ac:dyDescent="0.4">
      <c r="A110" s="127" t="s">
        <v>95</v>
      </c>
      <c r="B110" s="128">
        <v>1</v>
      </c>
      <c r="C110" s="186">
        <v>3</v>
      </c>
      <c r="D110" s="234">
        <v>13179577</v>
      </c>
      <c r="E110" s="235">
        <f t="shared" si="1"/>
        <v>97.445684080847087</v>
      </c>
      <c r="F110" s="236">
        <f t="shared" si="2"/>
        <v>97.445684080847087</v>
      </c>
    </row>
    <row r="111" spans="1:10" ht="26.25" customHeight="1" x14ac:dyDescent="0.4">
      <c r="A111" s="127" t="s">
        <v>96</v>
      </c>
      <c r="B111" s="128">
        <v>1</v>
      </c>
      <c r="C111" s="186">
        <v>4</v>
      </c>
      <c r="D111" s="234">
        <v>13164030</v>
      </c>
      <c r="E111" s="235">
        <f t="shared" si="1"/>
        <v>97.33073440906287</v>
      </c>
      <c r="F111" s="236">
        <f t="shared" si="2"/>
        <v>97.33073440906287</v>
      </c>
    </row>
    <row r="112" spans="1:10" ht="26.25" customHeight="1" x14ac:dyDescent="0.4">
      <c r="A112" s="127" t="s">
        <v>97</v>
      </c>
      <c r="B112" s="128">
        <v>1</v>
      </c>
      <c r="C112" s="186">
        <v>5</v>
      </c>
      <c r="D112" s="234">
        <v>13286217</v>
      </c>
      <c r="E112" s="235">
        <f t="shared" si="1"/>
        <v>98.234146999678373</v>
      </c>
      <c r="F112" s="236">
        <f t="shared" si="2"/>
        <v>98.234146999678373</v>
      </c>
    </row>
    <row r="113" spans="1:10" ht="27" customHeight="1" thickBot="1" x14ac:dyDescent="0.45">
      <c r="A113" s="127" t="s">
        <v>98</v>
      </c>
      <c r="B113" s="128">
        <v>1</v>
      </c>
      <c r="C113" s="190">
        <v>6</v>
      </c>
      <c r="D113" s="237">
        <v>13205833</v>
      </c>
      <c r="E113" s="238">
        <f t="shared" si="1"/>
        <v>97.639812760487317</v>
      </c>
      <c r="F113" s="239">
        <f t="shared" si="2"/>
        <v>97.639812760487317</v>
      </c>
    </row>
    <row r="114" spans="1:10" ht="27" customHeight="1" thickBot="1" x14ac:dyDescent="0.45">
      <c r="A114" s="127" t="s">
        <v>99</v>
      </c>
      <c r="B114" s="128">
        <v>1</v>
      </c>
      <c r="C114" s="240"/>
      <c r="D114" s="157"/>
      <c r="E114" s="99"/>
      <c r="F114" s="236"/>
    </row>
    <row r="115" spans="1:10" ht="26.25" customHeight="1" x14ac:dyDescent="0.4">
      <c r="A115" s="127" t="s">
        <v>100</v>
      </c>
      <c r="B115" s="128">
        <v>1</v>
      </c>
      <c r="C115" s="240"/>
      <c r="D115" s="241" t="s">
        <v>68</v>
      </c>
      <c r="E115" s="242">
        <f>AVERAGE(E108:E113)</f>
        <v>97.54665475264504</v>
      </c>
      <c r="F115" s="243">
        <f>AVERAGE(F108:F113)</f>
        <v>97.54665475264504</v>
      </c>
    </row>
    <row r="116" spans="1:10" ht="27" customHeight="1" thickBot="1" x14ac:dyDescent="0.45">
      <c r="A116" s="127" t="s">
        <v>101</v>
      </c>
      <c r="B116" s="139">
        <f>(B115/B114)*(B113/B112)*(B111/B110)*(B109/B108)*B107</f>
        <v>900</v>
      </c>
      <c r="C116" s="244"/>
      <c r="D116" s="245" t="s">
        <v>80</v>
      </c>
      <c r="E116" s="200">
        <f>STDEV(E108:E113)/E115</f>
        <v>3.8241244521617633E-3</v>
      </c>
      <c r="F116" s="246">
        <f>STDEV(F108:F113)/F115</f>
        <v>3.8241244521617633E-3</v>
      </c>
      <c r="I116" s="99"/>
    </row>
    <row r="117" spans="1:10" ht="27" customHeight="1" thickBot="1" x14ac:dyDescent="0.45">
      <c r="A117" s="294" t="s">
        <v>75</v>
      </c>
      <c r="B117" s="295"/>
      <c r="C117" s="247"/>
      <c r="D117" s="201" t="s">
        <v>20</v>
      </c>
      <c r="E117" s="248">
        <f>COUNT(E108:E113)</f>
        <v>6</v>
      </c>
      <c r="F117" s="249">
        <f>COUNT(F108:F113)</f>
        <v>6</v>
      </c>
      <c r="I117" s="99"/>
      <c r="J117" s="227"/>
    </row>
    <row r="118" spans="1:10" ht="26.25" customHeight="1" thickBot="1" x14ac:dyDescent="0.35">
      <c r="A118" s="296"/>
      <c r="B118" s="297"/>
      <c r="C118" s="99"/>
      <c r="D118" s="250"/>
      <c r="E118" s="313" t="s">
        <v>125</v>
      </c>
      <c r="F118" s="314"/>
      <c r="G118" s="99"/>
      <c r="H118" s="99"/>
      <c r="I118" s="99"/>
    </row>
    <row r="119" spans="1:10" ht="25.5" customHeight="1" x14ac:dyDescent="0.4">
      <c r="A119" s="251"/>
      <c r="B119" s="123"/>
      <c r="C119" s="99"/>
      <c r="D119" s="245" t="s">
        <v>126</v>
      </c>
      <c r="E119" s="252">
        <f>MIN(E108:E113)</f>
        <v>97.156531719353723</v>
      </c>
      <c r="F119" s="253">
        <f>MIN(F108:F113)</f>
        <v>97.156531719353723</v>
      </c>
      <c r="G119" s="99"/>
      <c r="H119" s="99"/>
      <c r="I119" s="99"/>
    </row>
    <row r="120" spans="1:10" ht="24" customHeight="1" thickBot="1" x14ac:dyDescent="0.45">
      <c r="A120" s="251"/>
      <c r="B120" s="123"/>
      <c r="C120" s="99"/>
      <c r="D120" s="168" t="s">
        <v>127</v>
      </c>
      <c r="E120" s="254">
        <f>MAX(E108:E113)</f>
        <v>98.234146999678373</v>
      </c>
      <c r="F120" s="255">
        <f>MAX(F108:F113)</f>
        <v>98.234146999678373</v>
      </c>
      <c r="G120" s="99"/>
      <c r="H120" s="99"/>
      <c r="I120" s="99"/>
    </row>
    <row r="121" spans="1:10" ht="27" customHeight="1" x14ac:dyDescent="0.3">
      <c r="A121" s="251"/>
      <c r="B121" s="123"/>
      <c r="C121" s="99"/>
      <c r="D121" s="99"/>
      <c r="E121" s="99"/>
      <c r="F121" s="157"/>
      <c r="G121" s="99"/>
      <c r="H121" s="99"/>
      <c r="I121" s="99"/>
    </row>
    <row r="122" spans="1:10" ht="25.5" customHeight="1" x14ac:dyDescent="0.3">
      <c r="A122" s="251"/>
      <c r="B122" s="123"/>
      <c r="C122" s="99"/>
      <c r="D122" s="99"/>
      <c r="E122" s="99"/>
      <c r="F122" s="157"/>
      <c r="G122" s="99"/>
      <c r="H122" s="99"/>
      <c r="I122" s="99"/>
    </row>
    <row r="123" spans="1:10" ht="18.75" x14ac:dyDescent="0.3">
      <c r="A123" s="251"/>
      <c r="B123" s="123"/>
      <c r="C123" s="99"/>
      <c r="D123" s="99"/>
      <c r="E123" s="99"/>
      <c r="F123" s="157"/>
      <c r="G123" s="99"/>
      <c r="H123" s="99"/>
      <c r="I123" s="99"/>
    </row>
    <row r="124" spans="1:10" ht="45.75" customHeight="1" x14ac:dyDescent="0.65">
      <c r="A124" s="110" t="s">
        <v>118</v>
      </c>
      <c r="B124" s="111" t="s">
        <v>102</v>
      </c>
      <c r="C124" s="289" t="str">
        <f>B26</f>
        <v>Ritonavir</v>
      </c>
      <c r="D124" s="289"/>
      <c r="E124" s="99" t="s">
        <v>103</v>
      </c>
      <c r="F124" s="99"/>
      <c r="G124" s="256">
        <f>F115</f>
        <v>97.54665475264504</v>
      </c>
      <c r="H124" s="99"/>
      <c r="I124" s="99"/>
    </row>
    <row r="125" spans="1:10" ht="45.75" customHeight="1" x14ac:dyDescent="0.65">
      <c r="A125" s="110"/>
      <c r="B125" s="111" t="s">
        <v>128</v>
      </c>
      <c r="C125" s="111" t="s">
        <v>129</v>
      </c>
      <c r="D125" s="256">
        <f>MIN(F108:F113)</f>
        <v>97.156531719353723</v>
      </c>
      <c r="E125" s="111" t="s">
        <v>130</v>
      </c>
      <c r="F125" s="256">
        <f>MAX(F108:F113)</f>
        <v>98.234146999678373</v>
      </c>
      <c r="G125" s="257"/>
      <c r="H125" s="99"/>
      <c r="I125" s="99"/>
    </row>
    <row r="126" spans="1:10" ht="19.5" customHeight="1" thickBot="1" x14ac:dyDescent="0.35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09" t="s">
        <v>26</v>
      </c>
      <c r="C127" s="309"/>
      <c r="E127" s="206" t="s">
        <v>27</v>
      </c>
      <c r="F127" s="260"/>
      <c r="G127" s="309" t="s">
        <v>28</v>
      </c>
      <c r="H127" s="309"/>
    </row>
    <row r="128" spans="1:10" ht="69.95" customHeight="1" x14ac:dyDescent="0.3">
      <c r="A128" s="110" t="s">
        <v>29</v>
      </c>
      <c r="B128" s="261"/>
      <c r="C128" s="261"/>
      <c r="E128" s="261"/>
      <c r="F128" s="99"/>
      <c r="G128" s="261"/>
      <c r="H128" s="261"/>
    </row>
    <row r="129" spans="1:9" ht="69.95" customHeight="1" x14ac:dyDescent="0.3">
      <c r="A129" s="110" t="s">
        <v>30</v>
      </c>
      <c r="B129" s="262"/>
      <c r="C129" s="262"/>
      <c r="E129" s="262"/>
      <c r="F129" s="99"/>
      <c r="G129" s="263"/>
      <c r="H129" s="263"/>
    </row>
    <row r="130" spans="1:9" ht="18.75" x14ac:dyDescent="0.3">
      <c r="A130" s="157"/>
      <c r="B130" s="157"/>
      <c r="C130" s="157"/>
      <c r="D130" s="157"/>
      <c r="E130" s="157"/>
      <c r="F130" s="159"/>
      <c r="G130" s="157"/>
      <c r="H130" s="157"/>
      <c r="I130" s="99"/>
    </row>
    <row r="131" spans="1:9" ht="18.75" x14ac:dyDescent="0.3">
      <c r="A131" s="157"/>
      <c r="B131" s="157"/>
      <c r="C131" s="157"/>
      <c r="D131" s="157"/>
      <c r="E131" s="157"/>
      <c r="F131" s="159"/>
      <c r="G131" s="157"/>
      <c r="H131" s="157"/>
      <c r="I131" s="99"/>
    </row>
    <row r="132" spans="1:9" ht="18.75" x14ac:dyDescent="0.3">
      <c r="A132" s="157"/>
      <c r="B132" s="157"/>
      <c r="C132" s="157"/>
      <c r="D132" s="157"/>
      <c r="E132" s="157"/>
      <c r="F132" s="159"/>
      <c r="G132" s="157"/>
      <c r="H132" s="157"/>
      <c r="I132" s="99"/>
    </row>
    <row r="133" spans="1:9" ht="18.75" x14ac:dyDescent="0.3">
      <c r="A133" s="157"/>
      <c r="B133" s="157"/>
      <c r="C133" s="157"/>
      <c r="D133" s="157"/>
      <c r="E133" s="157"/>
      <c r="F133" s="159"/>
      <c r="G133" s="157"/>
      <c r="H133" s="157"/>
      <c r="I133" s="99"/>
    </row>
    <row r="134" spans="1:9" ht="18.75" x14ac:dyDescent="0.3">
      <c r="A134" s="157"/>
      <c r="B134" s="157"/>
      <c r="C134" s="157"/>
      <c r="D134" s="157"/>
      <c r="E134" s="157"/>
      <c r="F134" s="159"/>
      <c r="G134" s="157"/>
      <c r="H134" s="157"/>
      <c r="I134" s="99"/>
    </row>
    <row r="135" spans="1:9" ht="18.75" x14ac:dyDescent="0.3">
      <c r="A135" s="157"/>
      <c r="B135" s="157"/>
      <c r="C135" s="157"/>
      <c r="D135" s="157"/>
      <c r="E135" s="157"/>
      <c r="F135" s="159"/>
      <c r="G135" s="157"/>
      <c r="H135" s="157"/>
      <c r="I135" s="99"/>
    </row>
    <row r="136" spans="1:9" ht="18.75" x14ac:dyDescent="0.3">
      <c r="A136" s="157"/>
      <c r="B136" s="157"/>
      <c r="C136" s="157"/>
      <c r="D136" s="157"/>
      <c r="E136" s="157"/>
      <c r="F136" s="159"/>
      <c r="G136" s="157"/>
      <c r="H136" s="157"/>
      <c r="I136" s="99"/>
    </row>
    <row r="137" spans="1:9" ht="18.75" x14ac:dyDescent="0.3">
      <c r="A137" s="157"/>
      <c r="B137" s="157"/>
      <c r="C137" s="157"/>
      <c r="D137" s="157"/>
      <c r="E137" s="157"/>
      <c r="F137" s="159"/>
      <c r="G137" s="157"/>
      <c r="H137" s="157"/>
      <c r="I137" s="99"/>
    </row>
    <row r="138" spans="1:9" ht="18.75" x14ac:dyDescent="0.3">
      <c r="A138" s="157"/>
      <c r="B138" s="157"/>
      <c r="C138" s="157"/>
      <c r="D138" s="157"/>
      <c r="E138" s="157"/>
      <c r="F138" s="159"/>
      <c r="G138" s="157"/>
      <c r="H138" s="157"/>
      <c r="I138" s="99"/>
    </row>
    <row r="250" spans="1:1" x14ac:dyDescent="0.25">
      <c r="A250" s="9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4"/>
  <sheetViews>
    <sheetView tabSelected="1" workbookViewId="0">
      <selection activeCell="E19" sqref="E19"/>
    </sheetView>
  </sheetViews>
  <sheetFormatPr defaultRowHeight="12.75" x14ac:dyDescent="0.2"/>
  <cols>
    <col min="4" max="4" width="12.42578125" bestFit="1" customWidth="1"/>
  </cols>
  <sheetData>
    <row r="2" spans="4:4" x14ac:dyDescent="0.2">
      <c r="D2">
        <v>8.2209099999999999</v>
      </c>
    </row>
    <row r="3" spans="4:4" x14ac:dyDescent="0.2">
      <c r="D3">
        <v>8.2203199999999992</v>
      </c>
    </row>
    <row r="4" spans="4:4" x14ac:dyDescent="0.2">
      <c r="D4" s="315">
        <f>(D2-D3)/D2</f>
        <v>7.1768210575320318E-5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Ritonavir </vt:lpstr>
      <vt:lpstr>Friability</vt:lpstr>
      <vt:lpstr>'Ritonavir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2017-12-21T09:46:52Z</cp:lastPrinted>
  <dcterms:created xsi:type="dcterms:W3CDTF">2005-07-05T10:19:27Z</dcterms:created>
  <dcterms:modified xsi:type="dcterms:W3CDTF">2017-12-21T09:50:50Z</dcterms:modified>
</cp:coreProperties>
</file>